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640" windowHeight="11160" tabRatio="802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  <sheet name="Plan1" sheetId="10" r:id="rId8"/>
  </sheets>
  <definedNames>
    <definedName name="AbaDeprec">'5. Depreciação'!$A$1</definedName>
    <definedName name="AbaRemun">'6.Remuneração de capital'!$A$1</definedName>
    <definedName name="_xlnm.Print_Area" localSheetId="0">'1. Coleta Domiciliar'!$A$1:$F$303</definedName>
    <definedName name="_xlnm.Print_Area" localSheetId="1">'2.Encargos Sociais'!$A$1:$C$39</definedName>
    <definedName name="_xlnm.Print_Titles" localSheetId="0">'1. Coleta Domiciliar'!$1:$8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1" i="2"/>
  <c r="D59" l="1"/>
  <c r="E59" s="1"/>
  <c r="D60"/>
  <c r="E60" s="1"/>
  <c r="C21" i="9"/>
  <c r="C23" i="5" l="1"/>
  <c r="C219" i="2" l="1"/>
  <c r="C218"/>
  <c r="C220"/>
  <c r="A36" l="1"/>
  <c r="A34"/>
  <c r="A33"/>
  <c r="A25"/>
  <c r="A24"/>
  <c r="A16"/>
  <c r="C13" i="9" l="1"/>
  <c r="C14" s="1"/>
  <c r="C15" l="1"/>
  <c r="C17"/>
  <c r="C22" s="1"/>
  <c r="C24" s="1"/>
  <c r="C189" i="2"/>
  <c r="C194"/>
  <c r="E45" l="1"/>
  <c r="E43"/>
  <c r="C213" l="1"/>
  <c r="C208"/>
  <c r="D238"/>
  <c r="D236"/>
  <c r="D234"/>
  <c r="D232"/>
  <c r="D168" l="1"/>
  <c r="E168" s="1"/>
  <c r="E152"/>
  <c r="E153"/>
  <c r="E154"/>
  <c r="E155"/>
  <c r="E156"/>
  <c r="E157"/>
  <c r="E158"/>
  <c r="E159"/>
  <c r="E160"/>
  <c r="E151"/>
  <c r="D92" l="1"/>
  <c r="E92" s="1"/>
  <c r="C111"/>
  <c r="D61" l="1"/>
  <c r="E61" s="1"/>
  <c r="C114"/>
  <c r="D93"/>
  <c r="E93" s="1"/>
  <c r="D94" s="1"/>
  <c r="E94" s="1"/>
  <c r="C79"/>
  <c r="C76"/>
  <c r="C253" l="1"/>
  <c r="D106"/>
  <c r="A32"/>
  <c r="A31"/>
  <c r="A30"/>
  <c r="A29"/>
  <c r="A28"/>
  <c r="A27"/>
  <c r="A26"/>
  <c r="A23"/>
  <c r="A22"/>
  <c r="A21"/>
  <c r="A20"/>
  <c r="A19"/>
  <c r="A18"/>
  <c r="A17"/>
  <c r="C20" i="8"/>
  <c r="E278" i="2"/>
  <c r="E222"/>
  <c r="E214"/>
  <c r="E198"/>
  <c r="E176"/>
  <c r="E163"/>
  <c r="E142"/>
  <c r="E122"/>
  <c r="E86"/>
  <c r="D202"/>
  <c r="C15" i="4"/>
  <c r="C20" s="1"/>
  <c r="F13"/>
  <c r="E13"/>
  <c r="D13"/>
  <c r="C17" i="8"/>
  <c r="C25" i="5"/>
  <c r="C117" i="2"/>
  <c r="C108"/>
  <c r="D105"/>
  <c r="D111" s="1"/>
  <c r="E111" s="1"/>
  <c r="E90"/>
  <c r="D129" s="1"/>
  <c r="C129"/>
  <c r="C251"/>
  <c r="E251" s="1"/>
  <c r="C230"/>
  <c r="C232" s="1"/>
  <c r="E232" s="1"/>
  <c r="D230"/>
  <c r="D239" s="1"/>
  <c r="E186"/>
  <c r="D207"/>
  <c r="C195"/>
  <c r="C190"/>
  <c r="C73"/>
  <c r="C276"/>
  <c r="E276" s="1"/>
  <c r="D277" s="1"/>
  <c r="E277" s="1"/>
  <c r="C191"/>
  <c r="C207" s="1"/>
  <c r="C128"/>
  <c r="A42"/>
  <c r="A43"/>
  <c r="A44"/>
  <c r="A45"/>
  <c r="A49"/>
  <c r="E58"/>
  <c r="D128" s="1"/>
  <c r="C81"/>
  <c r="A134"/>
  <c r="A140" s="1"/>
  <c r="A135"/>
  <c r="A141" s="1"/>
  <c r="E161"/>
  <c r="D169"/>
  <c r="E169" s="1"/>
  <c r="D170"/>
  <c r="E170" s="1"/>
  <c r="D171"/>
  <c r="E171" s="1"/>
  <c r="D172"/>
  <c r="E172" s="1"/>
  <c r="D173"/>
  <c r="E173" s="1"/>
  <c r="E174"/>
  <c r="E249"/>
  <c r="E220"/>
  <c r="E219"/>
  <c r="E262"/>
  <c r="E265"/>
  <c r="E266"/>
  <c r="E263"/>
  <c r="E264"/>
  <c r="D96"/>
  <c r="E96" s="1"/>
  <c r="C27" i="5" l="1"/>
  <c r="C28" s="1"/>
  <c r="C26"/>
  <c r="C31" i="8" s="1"/>
  <c r="D189" i="2"/>
  <c r="D218"/>
  <c r="D79"/>
  <c r="E79" s="1"/>
  <c r="D74"/>
  <c r="E74" s="1"/>
  <c r="E105"/>
  <c r="D109"/>
  <c r="E109" s="1"/>
  <c r="D112"/>
  <c r="E112" s="1"/>
  <c r="D114"/>
  <c r="E114" s="1"/>
  <c r="D108"/>
  <c r="E108" s="1"/>
  <c r="D77"/>
  <c r="E77" s="1"/>
  <c r="D76"/>
  <c r="E76" s="1"/>
  <c r="C236"/>
  <c r="E236" s="1"/>
  <c r="D73"/>
  <c r="E73" s="1"/>
  <c r="C238"/>
  <c r="E238" s="1"/>
  <c r="F267"/>
  <c r="F269" s="1"/>
  <c r="E33" s="1"/>
  <c r="E135"/>
  <c r="E230"/>
  <c r="E71"/>
  <c r="E191"/>
  <c r="C209" s="1"/>
  <c r="D162"/>
  <c r="E134"/>
  <c r="C162"/>
  <c r="E46"/>
  <c r="C140"/>
  <c r="E140" s="1"/>
  <c r="E128"/>
  <c r="E207"/>
  <c r="C141"/>
  <c r="E141" s="1"/>
  <c r="D62"/>
  <c r="E62" s="1"/>
  <c r="E63" s="1"/>
  <c r="D64" s="1"/>
  <c r="C175"/>
  <c r="C234"/>
  <c r="E234" s="1"/>
  <c r="C244"/>
  <c r="E244" s="1"/>
  <c r="F245" s="1"/>
  <c r="E31" s="1"/>
  <c r="E274"/>
  <c r="D275" s="1"/>
  <c r="E275" s="1"/>
  <c r="F278" s="1"/>
  <c r="F280" s="1"/>
  <c r="E34" s="1"/>
  <c r="E202"/>
  <c r="D252"/>
  <c r="E252" s="1"/>
  <c r="D253" s="1"/>
  <c r="E253" s="1"/>
  <c r="F254" s="1"/>
  <c r="E32" s="1"/>
  <c r="E129"/>
  <c r="E189"/>
  <c r="D175"/>
  <c r="E97"/>
  <c r="C30" i="8" l="1"/>
  <c r="C33" i="5"/>
  <c r="C27" i="8" s="1"/>
  <c r="C35" s="1"/>
  <c r="D190" i="2"/>
  <c r="E190" s="1"/>
  <c r="E218"/>
  <c r="D221" s="1"/>
  <c r="E221" s="1"/>
  <c r="F222" s="1"/>
  <c r="E29" s="1"/>
  <c r="C204"/>
  <c r="C205" s="1"/>
  <c r="D206" s="1"/>
  <c r="E206" s="1"/>
  <c r="C28" i="8"/>
  <c r="C19"/>
  <c r="C25" s="1"/>
  <c r="C34" s="1"/>
  <c r="D80" i="2"/>
  <c r="E80" s="1"/>
  <c r="D81" s="1"/>
  <c r="E81" s="1"/>
  <c r="D115"/>
  <c r="E115" s="1"/>
  <c r="D117" s="1"/>
  <c r="E117" s="1"/>
  <c r="F136"/>
  <c r="E22" s="1"/>
  <c r="F142"/>
  <c r="E23" s="1"/>
  <c r="E175"/>
  <c r="F176" s="1"/>
  <c r="E162"/>
  <c r="F163" s="1"/>
  <c r="D194"/>
  <c r="E194" s="1"/>
  <c r="D195" s="1"/>
  <c r="E195" s="1"/>
  <c r="F130"/>
  <c r="E21" s="1"/>
  <c r="F240"/>
  <c r="E30" s="1"/>
  <c r="D98"/>
  <c r="C29" i="8" l="1"/>
  <c r="C32" s="1"/>
  <c r="C36"/>
  <c r="E196" i="2"/>
  <c r="D197" s="1"/>
  <c r="E197" s="1"/>
  <c r="F198" s="1"/>
  <c r="E27" s="1"/>
  <c r="C210"/>
  <c r="D211" s="1"/>
  <c r="E211" s="1"/>
  <c r="E212" s="1"/>
  <c r="D213" s="1"/>
  <c r="E213" s="1"/>
  <c r="F214" s="1"/>
  <c r="F178"/>
  <c r="E24" s="1"/>
  <c r="E118"/>
  <c r="D119" s="1"/>
  <c r="E82"/>
  <c r="C37" i="8" l="1"/>
  <c r="C98" i="2" s="1"/>
  <c r="E28"/>
  <c r="E26" s="1"/>
  <c r="F257"/>
  <c r="E25" s="1"/>
  <c r="D83"/>
  <c r="C83" l="1"/>
  <c r="E83" s="1"/>
  <c r="E84" s="1"/>
  <c r="D85" s="1"/>
  <c r="E85" s="1"/>
  <c r="F86" s="1"/>
  <c r="E18" s="1"/>
  <c r="C64"/>
  <c r="E64" s="1"/>
  <c r="E65" s="1"/>
  <c r="D66" s="1"/>
  <c r="C119"/>
  <c r="E119" s="1"/>
  <c r="E120" s="1"/>
  <c r="D121" s="1"/>
  <c r="E121" s="1"/>
  <c r="F122" s="1"/>
  <c r="E20" s="1"/>
  <c r="E98"/>
  <c r="E99" s="1"/>
  <c r="D100" s="1"/>
  <c r="E100" s="1"/>
  <c r="F101" s="1"/>
  <c r="E19" s="1"/>
  <c r="E66" l="1"/>
  <c r="F67" s="1"/>
  <c r="E17" s="1"/>
  <c r="F144" l="1"/>
  <c r="F283" l="1"/>
  <c r="D288" s="1"/>
  <c r="E288" s="1"/>
  <c r="F289" s="1"/>
  <c r="F291" s="1"/>
  <c r="F294" s="1"/>
  <c r="F299" s="1"/>
  <c r="E16"/>
  <c r="E36" l="1"/>
  <c r="E37" l="1"/>
  <c r="F32" l="1"/>
  <c r="F35"/>
  <c r="F29"/>
  <c r="F31"/>
  <c r="F22"/>
  <c r="F17"/>
  <c r="F36"/>
  <c r="F33"/>
  <c r="F16"/>
  <c r="F24"/>
  <c r="F30"/>
  <c r="F21"/>
  <c r="F28"/>
  <c r="F26"/>
  <c r="F19"/>
  <c r="F23"/>
  <c r="F27"/>
  <c r="F25"/>
  <c r="F20"/>
  <c r="F34"/>
  <c r="F18"/>
  <c r="F37" l="1"/>
</calcChain>
</file>

<file path=xl/comments1.xml><?xml version="1.0" encoding="utf-8"?>
<comments xmlns="http://schemas.openxmlformats.org/spreadsheetml/2006/main">
  <authors>
    <author>Clauber Bridi</author>
  </authors>
  <commentList>
    <comment ref="A14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8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9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2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4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5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7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8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80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5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0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91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2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3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4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5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6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8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00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7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9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10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2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3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5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6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6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7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8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9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4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5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0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1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5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6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6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1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6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4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86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7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8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9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1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92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93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4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7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03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20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26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29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29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31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31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33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33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5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5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7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7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4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49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49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50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51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52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C262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2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6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6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71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4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76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88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97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cbridi</author>
    <author>Clauber Bridi</author>
    <author>Omar</author>
  </authors>
  <commentList>
    <comment ref="C12" author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4" authorId="2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6" authorId="0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9" author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0" author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3" authorId="1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<sst xmlns="http://schemas.openxmlformats.org/spreadsheetml/2006/main" count="610" uniqueCount="321">
  <si>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</si>
  <si>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</si>
  <si>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</si>
  <si>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</si>
  <si>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</si>
  <si>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</si>
  <si>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</si>
  <si>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</si>
  <si>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</si>
  <si>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</si>
  <si>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</si>
  <si>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</si>
  <si>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</si>
  <si>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</si>
  <si>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</si>
  <si>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</si>
  <si>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</si>
  <si>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</si>
  <si>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</si>
  <si>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</si>
  <si>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</si>
  <si>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</si>
  <si>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</si>
  <si>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</si>
  <si>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</si>
  <si>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</si>
  <si>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</si>
  <si>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</si>
  <si>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</si>
  <si>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</si>
  <si>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</si>
  <si>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</si>
  <si>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</si>
  <si>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</si>
  <si>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</si>
  <si>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</si>
  <si>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</si>
  <si>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</si>
  <si>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</si>
  <si>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</si>
  <si>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</si>
  <si>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</si>
  <si>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</si>
  <si>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</si>
  <si>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</si>
  <si>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</si>
  <si>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</si>
  <si>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</si>
  <si>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</si>
  <si>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</si>
  <si>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</si>
  <si>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</si>
  <si>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</si>
  <si>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</si>
  <si>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</si>
  <si>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</si>
  <si>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</si>
  <si>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</si>
  <si>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</si>
  <si>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</si>
  <si>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</si>
  <si>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</si>
  <si>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</si>
  <si>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</si>
  <si>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</si>
  <si>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</si>
  <si>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</si>
  <si>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</si>
  <si>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</si>
  <si>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</si>
  <si>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</si>
  <si>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</si>
  <si>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</si>
  <si>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</si>
  <si>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</si>
  <si>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</si>
  <si>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</si>
  <si>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</si>
  <si>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</si>
  <si>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</si>
  <si>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</si>
  <si>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</si>
  <si>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</si>
  <si>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</si>
  <si>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</si>
  <si>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</si>
  <si>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</si>
  <si>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</si>
  <si>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</si>
  <si>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</si>
  <si>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</si>
  <si>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</si>
  <si>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</si>
  <si>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</si>
  <si>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</si>
  <si>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</si>
  <si>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</si>
  <si>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</si>
  <si>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</si>
  <si>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</si>
  <si>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>3.1. Veículo Coletor Compactador</t>
    </r>
    <r>
      <rPr>
        <sz val="10"/>
        <color indexed="10"/>
        <rFont val="Arial"/>
        <family val="2"/>
      </rPr>
      <t xml:space="preserve"> xx</t>
    </r>
    <r>
      <rPr>
        <sz val="10"/>
        <rFont val="Arial"/>
        <family val="2"/>
      </rPr>
      <t xml:space="preserve"> m³</t>
    </r>
  </si>
  <si>
    <t>Custo do jogo de pneus xxx/xx Rxx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</si>
  <si>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</si>
  <si>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</si>
  <si>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</si>
  <si>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</si>
  <si>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</si>
  <si>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</si>
  <si>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</si>
  <si>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</si>
  <si>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</si>
  <si>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</si>
  <si>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</si>
  <si>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</si>
  <si>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</si>
  <si>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</si>
  <si>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</si>
  <si>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</si>
  <si>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</si>
  <si>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</si>
  <si>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</si>
  <si>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</si>
  <si>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</si>
  <si>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</si>
  <si>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</si>
  <si>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</si>
  <si>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</si>
  <si>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</si>
  <si>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</si>
  <si>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</si>
  <si>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</si>
  <si>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</si>
  <si>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</si>
  <si>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</si>
  <si>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</si>
  <si>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</si>
  <si>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</si>
  <si>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</si>
  <si>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</si>
  <si>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</si>
  <si>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</si>
  <si>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</si>
  <si>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</si>
  <si>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</si>
  <si>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</si>
  <si>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</si>
  <si>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</si>
  <si>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</si>
  <si>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</si>
  <si>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</si>
  <si>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</si>
  <si>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</si>
  <si>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</si>
  <si>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</si>
  <si>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</si>
  <si>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</si>
  <si>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</si>
  <si>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</si>
  <si>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</si>
  <si>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</si>
  <si>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</si>
  <si>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</si>
  <si>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</si>
  <si>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</si>
  <si>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</si>
  <si>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</si>
  <si>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</si>
  <si>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</si>
  <si>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</si>
  <si>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</si>
  <si>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</si>
  <si>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</si>
  <si>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</si>
  <si>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</si>
  <si>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</si>
  <si>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</si>
  <si>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</si>
  <si>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</si>
  <si>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</si>
  <si>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</si>
  <si>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</si>
  <si>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</si>
  <si>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</si>
  <si>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</si>
  <si>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</si>
  <si>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</si>
  <si>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</si>
  <si>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</si>
  <si>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</si>
  <si>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</si>
  <si>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</si>
  <si>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</si>
  <si>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</si>
  <si>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</si>
  <si>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</si>
  <si>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</si>
  <si>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</si>
  <si>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</si>
  <si>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</si>
  <si>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</si>
  <si>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</si>
  <si>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</si>
  <si>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</si>
  <si>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</si>
  <si>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</si>
  <si>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</si>
  <si>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</si>
  <si>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</si>
  <si>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</si>
  <si>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</si>
  <si>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</si>
  <si>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</si>
  <si>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</si>
  <si>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</si>
  <si>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</si>
  <si>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</si>
  <si>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</si>
  <si>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</si>
  <si>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</si>
  <si>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</si>
  <si>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</si>
  <si>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</si>
  <si>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</si>
  <si>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</si>
  <si>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</si>
  <si>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</si>
  <si>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</si>
  <si>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</si>
  <si>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</si>
  <si>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</si>
  <si>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</si>
  <si>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1. Coleta de Resíduos Sólidos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</si>
  <si>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</si>
  <si>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</si>
  <si>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</si>
  <si>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</si>
  <si>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</si>
  <si>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</si>
  <si>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</si>
  <si>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</si>
  <si>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</si>
  <si>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</si>
  <si>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</si>
  <si>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</si>
  <si>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</si>
  <si>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</si>
  <si>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</si>
  <si>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</si>
  <si>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</si>
  <si>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</si>
  <si>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</si>
  <si>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</si>
  <si>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</si>
  <si>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</si>
  <si>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</si>
  <si>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</si>
  <si>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</si>
  <si>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</si>
  <si>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</si>
  <si>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</si>
  <si>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</si>
  <si>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</si>
  <si>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</si>
  <si>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</si>
  <si>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</si>
  <si>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</si>
  <si>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</si>
  <si>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</si>
  <si>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</si>
  <si>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</si>
  <si>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</si>
  <si>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</si>
  <si>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</si>
  <si>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</si>
  <si>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</si>
  <si>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</si>
  <si>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</si>
  <si>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</si>
  <si>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</si>
  <si>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</si>
  <si>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</si>
  <si>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</si>
  <si>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</si>
  <si>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</si>
  <si>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</si>
  <si>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</si>
  <si>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</si>
  <si>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</si>
  <si>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</si>
  <si>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</si>
  <si>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</si>
  <si>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</si>
  <si>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</si>
  <si>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</si>
  <si>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</si>
  <si>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</si>
  <si>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</si>
  <si>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</si>
  <si>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</si>
  <si>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</si>
  <si>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</si>
  <si>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4. As células azuis deverão ter seus valores preenchidos em outra planilha do arquivo.</t>
  </si>
  <si>
    <t>2. Antes de preenchê-la, leia a Orientação Técnica - Serviço de coleta de resíduos sólidos domiciliares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</si>
  <si>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</si>
  <si>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</si>
  <si>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</si>
  <si>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</si>
  <si>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</si>
  <si>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</si>
  <si>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</si>
  <si>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</si>
  <si>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</si>
  <si>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</si>
  <si>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</si>
  <si>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t>Preencha as células em amarelo</t>
  </si>
  <si>
    <t>Tendo em vista que o CAGED foi descontinuado em janeiro de 2020, esta planilha foi atualizada até 31/12/2019.</t>
  </si>
  <si>
    <t>Ajustado, de acordo com a nova Lei Federal nº 13.932/2019</t>
  </si>
  <si>
    <t>6.Custo Mensal com Destinação residuos (R$/mês)</t>
  </si>
  <si>
    <t>7. Benefícios e Despesas Indiretas - BDI</t>
  </si>
  <si>
    <t xml:space="preserve"> 6.Custo mensal com Destinação resíduos</t>
  </si>
  <si>
    <t xml:space="preserve">Quantidade média de resíduos coletados por mês (Seco e Orgânico): 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</si>
</sst>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5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4" xfId="3" applyFont="1" applyFill="1" applyBorder="1" applyAlignment="1">
      <alignment horizontal="center" vertical="center"/>
    </xf>
    <xf numFmtId="165" fontId="3" fillId="2" borderId="4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3" fillId="0" borderId="12" xfId="3" applyFont="1" applyBorder="1" applyAlignment="1">
      <alignment horizontal="center" vertical="center"/>
    </xf>
    <xf numFmtId="165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65" fontId="13" fillId="2" borderId="17" xfId="3" applyFont="1" applyFill="1" applyBorder="1" applyAlignment="1">
      <alignment horizontal="center" vertical="center"/>
    </xf>
    <xf numFmtId="165" fontId="13" fillId="2" borderId="18" xfId="3" applyFont="1" applyFill="1" applyBorder="1" applyAlignment="1">
      <alignment horizontal="center" vertical="center"/>
    </xf>
    <xf numFmtId="165" fontId="3" fillId="0" borderId="19" xfId="3" applyFont="1" applyBorder="1" applyAlignment="1">
      <alignment horizontal="center" vertical="center"/>
    </xf>
    <xf numFmtId="165" fontId="1" fillId="0" borderId="14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4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0" xfId="3" applyNumberFormat="1" applyFont="1" applyBorder="1" applyAlignment="1">
      <alignment horizontal="center" vertical="center"/>
    </xf>
    <xf numFmtId="165" fontId="3" fillId="0" borderId="28" xfId="3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165" fontId="6" fillId="0" borderId="1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6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3" fillId="0" borderId="31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65" fontId="13" fillId="2" borderId="33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165" fontId="3" fillId="0" borderId="35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3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7" xfId="3" applyFont="1" applyFill="1" applyBorder="1" applyAlignment="1">
      <alignment horizontal="center" vertical="center"/>
    </xf>
    <xf numFmtId="165" fontId="3" fillId="0" borderId="14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5" xfId="2" applyNumberFormat="1" applyFont="1" applyBorder="1" applyAlignment="1">
      <alignment vertical="center"/>
    </xf>
    <xf numFmtId="165" fontId="3" fillId="0" borderId="38" xfId="3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165" fontId="6" fillId="0" borderId="39" xfId="3" applyFont="1" applyBorder="1" applyAlignment="1">
      <alignment vertical="center"/>
    </xf>
    <xf numFmtId="165" fontId="6" fillId="0" borderId="40" xfId="3" applyFont="1" applyBorder="1" applyAlignment="1">
      <alignment vertical="center"/>
    </xf>
    <xf numFmtId="165" fontId="6" fillId="0" borderId="41" xfId="3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" fontId="6" fillId="0" borderId="37" xfId="3" applyNumberFormat="1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4" fontId="6" fillId="0" borderId="0" xfId="0" applyNumberFormat="1" applyFont="1" applyAlignment="1">
      <alignment vertical="center"/>
    </xf>
    <xf numFmtId="165" fontId="6" fillId="6" borderId="1" xfId="3" applyFont="1" applyFill="1" applyBorder="1" applyAlignment="1">
      <alignment horizontal="center" vertical="center"/>
    </xf>
    <xf numFmtId="165" fontId="6" fillId="6" borderId="1" xfId="3" applyFont="1" applyFill="1" applyBorder="1" applyAlignment="1">
      <alignment vertical="center"/>
    </xf>
    <xf numFmtId="9" fontId="3" fillId="0" borderId="18" xfId="2" applyFont="1" applyBorder="1" applyAlignment="1">
      <alignment vertical="center"/>
    </xf>
    <xf numFmtId="10" fontId="6" fillId="0" borderId="15" xfId="2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38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166" fontId="3" fillId="0" borderId="0" xfId="3" applyNumberFormat="1" applyFont="1" applyBorder="1" applyAlignment="1">
      <alignment horizontal="center" vertical="center"/>
    </xf>
    <xf numFmtId="0" fontId="18" fillId="0" borderId="14" xfId="0" applyFont="1" applyBorder="1"/>
    <xf numFmtId="0" fontId="18" fillId="0" borderId="47" xfId="0" applyFont="1" applyBorder="1"/>
    <xf numFmtId="0" fontId="18" fillId="3" borderId="20" xfId="0" applyFont="1" applyFill="1" applyBorder="1"/>
    <xf numFmtId="0" fontId="18" fillId="0" borderId="23" xfId="0" applyFont="1" applyBorder="1"/>
    <xf numFmtId="0" fontId="18" fillId="0" borderId="48" xfId="0" applyFont="1" applyBorder="1"/>
    <xf numFmtId="0" fontId="18" fillId="0" borderId="20" xfId="0" applyFont="1" applyBorder="1"/>
    <xf numFmtId="0" fontId="18" fillId="0" borderId="28" xfId="0" applyFont="1" applyBorder="1"/>
    <xf numFmtId="2" fontId="19" fillId="7" borderId="1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2" fontId="19" fillId="7" borderId="36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10" fontId="19" fillId="0" borderId="20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10" fontId="23" fillId="0" borderId="20" xfId="0" applyNumberFormat="1" applyFont="1" applyBorder="1" applyAlignment="1">
      <alignment horizontal="right" vertical="center"/>
    </xf>
    <xf numFmtId="0" fontId="19" fillId="5" borderId="23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0" fontId="23" fillId="5" borderId="2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0" fontId="6" fillId="0" borderId="0" xfId="0" applyNumberFormat="1" applyFont="1"/>
    <xf numFmtId="9" fontId="19" fillId="0" borderId="0" xfId="2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/>
    </xf>
    <xf numFmtId="0" fontId="19" fillId="9" borderId="24" xfId="0" applyFont="1" applyFill="1" applyBorder="1" applyAlignment="1">
      <alignment horizontal="left" vertical="center"/>
    </xf>
    <xf numFmtId="0" fontId="23" fillId="9" borderId="36" xfId="0" applyFont="1" applyFill="1" applyBorder="1" applyAlignment="1">
      <alignment horizontal="left" vertical="center"/>
    </xf>
    <xf numFmtId="10" fontId="23" fillId="9" borderId="37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10" fontId="23" fillId="0" borderId="0" xfId="0" applyNumberFormat="1" applyFont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10" fontId="19" fillId="0" borderId="0" xfId="0" applyNumberFormat="1" applyFont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26" fillId="0" borderId="0" xfId="0" applyFont="1" applyAlignment="1">
      <alignment horizontal="justify" vertical="center"/>
    </xf>
    <xf numFmtId="0" fontId="8" fillId="0" borderId="0" xfId="1" applyBorder="1" applyAlignment="1" applyProtection="1">
      <alignment horizontal="left" vertical="center"/>
    </xf>
    <xf numFmtId="0" fontId="27" fillId="0" borderId="0" xfId="0" applyFont="1"/>
    <xf numFmtId="0" fontId="19" fillId="0" borderId="0" xfId="0" applyFont="1" applyAlignment="1">
      <alignment horizontal="right" vertical="center"/>
    </xf>
    <xf numFmtId="0" fontId="8" fillId="0" borderId="0" xfId="1" applyBorder="1" applyAlignment="1" applyProtection="1">
      <alignment vertical="center"/>
    </xf>
    <xf numFmtId="0" fontId="5" fillId="0" borderId="15" xfId="0" applyFont="1" applyBorder="1"/>
    <xf numFmtId="0" fontId="5" fillId="0" borderId="23" xfId="0" applyFont="1" applyBorder="1"/>
    <xf numFmtId="0" fontId="5" fillId="3" borderId="20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49" xfId="0" applyFont="1" applyBorder="1"/>
    <xf numFmtId="0" fontId="5" fillId="3" borderId="50" xfId="0" applyFont="1" applyFill="1" applyBorder="1"/>
    <xf numFmtId="0" fontId="5" fillId="0" borderId="38" xfId="0" applyFont="1" applyBorder="1"/>
    <xf numFmtId="0" fontId="5" fillId="0" borderId="39" xfId="0" applyFont="1" applyBorder="1"/>
    <xf numFmtId="0" fontId="7" fillId="0" borderId="48" xfId="0" applyFont="1" applyBorder="1"/>
    <xf numFmtId="0" fontId="7" fillId="0" borderId="38" xfId="0" applyFont="1" applyBorder="1" applyAlignment="1">
      <alignment horizontal="left" vertical="center"/>
    </xf>
    <xf numFmtId="9" fontId="5" fillId="0" borderId="23" xfId="2" applyFont="1" applyBorder="1"/>
    <xf numFmtId="9" fontId="5" fillId="0" borderId="1" xfId="2" applyFont="1" applyBorder="1" applyAlignment="1">
      <alignment horizontal="center"/>
    </xf>
    <xf numFmtId="9" fontId="5" fillId="0" borderId="20" xfId="2" applyFont="1" applyBorder="1"/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10" fontId="5" fillId="3" borderId="12" xfId="0" applyNumberFormat="1" applyFont="1" applyFill="1" applyBorder="1" applyAlignment="1">
      <alignment horizontal="center" vertical="center"/>
    </xf>
    <xf numFmtId="10" fontId="5" fillId="0" borderId="20" xfId="2" applyNumberFormat="1" applyFont="1" applyBorder="1"/>
    <xf numFmtId="0" fontId="5" fillId="0" borderId="2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0" fontId="5" fillId="3" borderId="20" xfId="0" applyNumberFormat="1" applyFont="1" applyFill="1" applyBorder="1" applyAlignment="1">
      <alignment horizontal="center" vertical="center"/>
    </xf>
    <xf numFmtId="10" fontId="5" fillId="0" borderId="20" xfId="0" applyNumberFormat="1" applyFont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0" xfId="0" applyFont="1" applyBorder="1"/>
    <xf numFmtId="0" fontId="5" fillId="0" borderId="24" xfId="0" applyFont="1" applyBorder="1" applyAlignment="1">
      <alignment horizontal="left" vertical="center"/>
    </xf>
    <xf numFmtId="10" fontId="5" fillId="3" borderId="3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10" fontId="5" fillId="0" borderId="27" xfId="0" applyNumberFormat="1" applyFont="1" applyBorder="1" applyAlignment="1">
      <alignment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20" xfId="2" applyNumberFormat="1" applyFont="1" applyBorder="1" applyAlignment="1">
      <alignment horizontal="right"/>
    </xf>
    <xf numFmtId="10" fontId="5" fillId="0" borderId="24" xfId="2" applyNumberFormat="1" applyFont="1" applyBorder="1" applyAlignment="1">
      <alignment horizontal="right"/>
    </xf>
    <xf numFmtId="10" fontId="5" fillId="0" borderId="36" xfId="2" applyNumberFormat="1" applyFont="1" applyBorder="1" applyAlignment="1">
      <alignment horizontal="right"/>
    </xf>
    <xf numFmtId="10" fontId="5" fillId="0" borderId="37" xfId="2" applyNumberFormat="1" applyFont="1" applyBorder="1" applyAlignment="1">
      <alignment horizontal="right"/>
    </xf>
    <xf numFmtId="0" fontId="6" fillId="0" borderId="52" xfId="0" applyFont="1" applyBorder="1"/>
    <xf numFmtId="0" fontId="20" fillId="0" borderId="52" xfId="0" applyFont="1" applyBorder="1" applyAlignment="1">
      <alignment horizontal="justify"/>
    </xf>
    <xf numFmtId="0" fontId="20" fillId="0" borderId="53" xfId="0" applyFont="1" applyBorder="1" applyAlignment="1">
      <alignment horizontal="justify"/>
    </xf>
    <xf numFmtId="0" fontId="17" fillId="10" borderId="51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65" fontId="6" fillId="3" borderId="9" xfId="3" applyFont="1" applyFill="1" applyBorder="1" applyAlignment="1">
      <alignment vertical="center"/>
    </xf>
    <xf numFmtId="165" fontId="6" fillId="0" borderId="10" xfId="3" applyFont="1" applyBorder="1" applyAlignment="1">
      <alignment vertical="center"/>
    </xf>
    <xf numFmtId="165" fontId="3" fillId="0" borderId="7" xfId="3" applyFont="1" applyBorder="1" applyAlignment="1">
      <alignment horizontal="right" vertical="center"/>
    </xf>
    <xf numFmtId="165" fontId="3" fillId="2" borderId="4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6" xfId="0" applyNumberFormat="1" applyFont="1" applyBorder="1" applyAlignment="1">
      <alignment vertical="center"/>
    </xf>
    <xf numFmtId="165" fontId="3" fillId="0" borderId="11" xfId="3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54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165" fontId="3" fillId="0" borderId="54" xfId="3" applyFont="1" applyBorder="1" applyAlignment="1">
      <alignment horizontal="center" vertical="center"/>
    </xf>
    <xf numFmtId="165" fontId="3" fillId="0" borderId="54" xfId="3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7" fillId="0" borderId="23" xfId="0" applyFont="1" applyBorder="1"/>
    <xf numFmtId="0" fontId="7" fillId="0" borderId="1" xfId="0" applyFont="1" applyBorder="1"/>
    <xf numFmtId="0" fontId="7" fillId="0" borderId="20" xfId="0" applyFont="1" applyBorder="1"/>
    <xf numFmtId="0" fontId="5" fillId="0" borderId="1" xfId="0" applyFont="1" applyBorder="1"/>
    <xf numFmtId="170" fontId="24" fillId="0" borderId="20" xfId="3" applyNumberFormat="1" applyFont="1" applyBorder="1" applyAlignment="1">
      <alignment horizontal="center" vertical="center" wrapText="1"/>
    </xf>
    <xf numFmtId="171" fontId="5" fillId="0" borderId="20" xfId="0" applyNumberFormat="1" applyFont="1" applyBorder="1"/>
    <xf numFmtId="2" fontId="5" fillId="0" borderId="20" xfId="0" applyNumberFormat="1" applyFont="1" applyBorder="1"/>
    <xf numFmtId="0" fontId="5" fillId="0" borderId="24" xfId="0" applyFont="1" applyBorder="1"/>
    <xf numFmtId="0" fontId="5" fillId="0" borderId="36" xfId="0" applyFont="1" applyBorder="1"/>
    <xf numFmtId="171" fontId="5" fillId="3" borderId="20" xfId="0" applyNumberFormat="1" applyFont="1" applyFill="1" applyBorder="1"/>
    <xf numFmtId="171" fontId="5" fillId="0" borderId="37" xfId="0" applyNumberFormat="1" applyFont="1" applyBorder="1"/>
    <xf numFmtId="0" fontId="17" fillId="0" borderId="1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172" fontId="5" fillId="3" borderId="20" xfId="0" applyNumberFormat="1" applyFont="1" applyFill="1" applyBorder="1"/>
    <xf numFmtId="0" fontId="5" fillId="0" borderId="23" xfId="0" applyFont="1" applyBorder="1" applyAlignment="1">
      <alignment horizontal="right"/>
    </xf>
    <xf numFmtId="4" fontId="32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4" fontId="33" fillId="0" borderId="0" xfId="0" applyNumberFormat="1" applyFont="1" applyAlignment="1">
      <alignment vertical="center"/>
    </xf>
    <xf numFmtId="0" fontId="31" fillId="0" borderId="0" xfId="0" applyFont="1"/>
    <xf numFmtId="0" fontId="1" fillId="0" borderId="2" xfId="0" applyFont="1" applyBorder="1" applyAlignment="1">
      <alignment vertical="center"/>
    </xf>
    <xf numFmtId="169" fontId="7" fillId="0" borderId="20" xfId="0" applyNumberFormat="1" applyFont="1" applyBorder="1"/>
    <xf numFmtId="9" fontId="18" fillId="0" borderId="20" xfId="2" applyFont="1" applyBorder="1"/>
    <xf numFmtId="10" fontId="18" fillId="0" borderId="20" xfId="2" applyNumberFormat="1" applyFont="1" applyBorder="1"/>
    <xf numFmtId="9" fontId="7" fillId="0" borderId="31" xfId="2" applyFont="1" applyBorder="1"/>
    <xf numFmtId="0" fontId="5" fillId="0" borderId="55" xfId="0" applyFont="1" applyBorder="1"/>
    <xf numFmtId="165" fontId="3" fillId="2" borderId="0" xfId="3" applyFont="1" applyFill="1" applyBorder="1" applyAlignment="1">
      <alignment horizontal="center" vertical="center"/>
    </xf>
    <xf numFmtId="168" fontId="3" fillId="0" borderId="3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3" fillId="0" borderId="43" xfId="3" applyFont="1" applyBorder="1" applyAlignment="1">
      <alignment horizontal="center" vertical="center"/>
    </xf>
    <xf numFmtId="165" fontId="4" fillId="8" borderId="5" xfId="3" applyFont="1" applyFill="1" applyBorder="1" applyAlignment="1">
      <alignment horizontal="center" vertical="center"/>
    </xf>
    <xf numFmtId="165" fontId="4" fillId="8" borderId="6" xfId="3" applyFont="1" applyFill="1" applyBorder="1" applyAlignment="1">
      <alignment horizontal="center" vertical="center"/>
    </xf>
    <xf numFmtId="165" fontId="4" fillId="8" borderId="7" xfId="3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/>
    </xf>
    <xf numFmtId="0" fontId="17" fillId="10" borderId="46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9" fontId="7" fillId="0" borderId="21" xfId="2" applyFont="1" applyBorder="1" applyAlignment="1">
      <alignment horizontal="center"/>
    </xf>
    <xf numFmtId="9" fontId="7" fillId="0" borderId="22" xfId="2" applyFont="1" applyBorder="1" applyAlignment="1">
      <alignment horizontal="center"/>
    </xf>
    <xf numFmtId="9" fontId="7" fillId="0" borderId="12" xfId="2" applyFont="1" applyBorder="1" applyAlignment="1">
      <alignment horizont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Porcentagem" xfId="2" builtinId="5"/>
    <cellStyle name="Separador de milhares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:a16="http://schemas.microsoft.com/office/drawing/2014/main" xmlns="" id="{00000000-0008-0000-05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:a16="http://schemas.microsoft.com/office/drawing/2014/main" xmlns="" id="{00000000-0008-0000-05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3"/>
  <sheetViews>
    <sheetView tabSelected="1" view="pageBreakPreview" zoomScaleSheetLayoutView="100" workbookViewId="0">
      <selection activeCell="F299" sqref="F299"/>
    </sheetView>
  </sheetViews>
  <sheetFormatPr defaultRowHeight="12.75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ht="15.75">
      <c r="A1" s="53" t="s">
        <v>214</v>
      </c>
    </row>
    <row r="2" spans="1:7" ht="15.75">
      <c r="A2" s="280" t="s">
        <v>299</v>
      </c>
    </row>
    <row r="3" spans="1:7" ht="15.75">
      <c r="A3" s="280" t="s">
        <v>300</v>
      </c>
    </row>
    <row r="4" spans="1:7" ht="15.75">
      <c r="A4" s="280" t="s">
        <v>302</v>
      </c>
    </row>
    <row r="5" spans="1:7" s="4" customFormat="1" ht="15.6" customHeight="1">
      <c r="A5" s="279" t="s">
        <v>296</v>
      </c>
      <c r="C5" s="5"/>
      <c r="D5" s="5"/>
      <c r="E5" s="5"/>
      <c r="F5" s="5"/>
      <c r="G5" s="6"/>
    </row>
    <row r="6" spans="1:7" s="4" customFormat="1" ht="15.6" customHeight="1">
      <c r="A6" s="278" t="s">
        <v>301</v>
      </c>
      <c r="B6" s="5"/>
      <c r="C6" s="5"/>
      <c r="D6" s="5"/>
      <c r="E6" s="5"/>
      <c r="F6" s="5"/>
      <c r="G6" s="6"/>
    </row>
    <row r="7" spans="1:7" s="4" customFormat="1" ht="15.6" customHeight="1">
      <c r="A7" s="7"/>
      <c r="B7" s="5"/>
      <c r="C7" s="5"/>
      <c r="D7" s="5"/>
      <c r="E7" s="5"/>
      <c r="F7" s="5"/>
      <c r="G7" s="6"/>
    </row>
    <row r="8" spans="1:7" s="4" customFormat="1" ht="15.6" customHeight="1">
      <c r="A8" s="280" t="s">
        <v>307</v>
      </c>
      <c r="B8" s="5"/>
      <c r="C8" s="5"/>
      <c r="D8" s="5"/>
      <c r="E8" s="5"/>
      <c r="F8" s="5"/>
      <c r="G8" s="6"/>
    </row>
    <row r="9" spans="1:7" s="4" customFormat="1" ht="15.6" customHeight="1">
      <c r="A9" s="280" t="s">
        <v>304</v>
      </c>
      <c r="B9" s="5"/>
      <c r="C9" s="5"/>
      <c r="D9" s="5"/>
      <c r="E9" s="5"/>
      <c r="F9" s="5"/>
      <c r="G9" s="6"/>
    </row>
    <row r="10" spans="1:7" s="4" customFormat="1" ht="16.5" customHeight="1" thickBot="1">
      <c r="A10" s="7"/>
      <c r="B10" s="5"/>
      <c r="C10" s="5"/>
      <c r="D10" s="6"/>
      <c r="E10" s="6"/>
      <c r="F10" s="6"/>
      <c r="G10" s="6"/>
    </row>
    <row r="11" spans="1:7" s="8" customFormat="1" ht="18">
      <c r="A11" s="295" t="s">
        <v>231</v>
      </c>
      <c r="B11" s="296"/>
      <c r="C11" s="296"/>
      <c r="D11" s="296"/>
      <c r="E11" s="296"/>
      <c r="F11" s="297"/>
      <c r="G11" s="35"/>
    </row>
    <row r="12" spans="1:7" s="8" customFormat="1" ht="21.75" customHeight="1">
      <c r="A12" s="298" t="s">
        <v>45</v>
      </c>
      <c r="B12" s="299"/>
      <c r="C12" s="299"/>
      <c r="D12" s="299"/>
      <c r="E12" s="299"/>
      <c r="F12" s="300"/>
      <c r="G12" s="35"/>
    </row>
    <row r="13" spans="1:7" s="4" customFormat="1" ht="10.9" customHeight="1" thickBot="1">
      <c r="A13" s="141"/>
      <c r="B13" s="5"/>
      <c r="C13" s="5"/>
      <c r="D13" s="142"/>
      <c r="E13" s="142"/>
      <c r="F13" s="143"/>
      <c r="G13" s="6"/>
    </row>
    <row r="14" spans="1:7" s="4" customFormat="1" ht="15.75" customHeight="1" thickBot="1">
      <c r="A14" s="304" t="s">
        <v>213</v>
      </c>
      <c r="B14" s="305"/>
      <c r="C14" s="305"/>
      <c r="D14" s="305"/>
      <c r="E14" s="305"/>
      <c r="F14" s="306"/>
      <c r="G14" s="6"/>
    </row>
    <row r="15" spans="1:7" s="4" customFormat="1" ht="15.75" customHeight="1">
      <c r="A15" s="61" t="s">
        <v>212</v>
      </c>
      <c r="B15" s="39"/>
      <c r="C15" s="39"/>
      <c r="D15" s="240"/>
      <c r="E15" s="110" t="s">
        <v>40</v>
      </c>
      <c r="F15" s="40" t="s">
        <v>2</v>
      </c>
      <c r="G15" s="6"/>
    </row>
    <row r="16" spans="1:7" s="11" customFormat="1" ht="15.75" customHeight="1">
      <c r="A16" s="119" t="str">
        <f>A54</f>
        <v>1. Mão-de-obra</v>
      </c>
      <c r="B16" s="120"/>
      <c r="C16" s="121"/>
      <c r="D16" s="121"/>
      <c r="E16" s="237">
        <f>+F144</f>
        <v>7041.4633199551999</v>
      </c>
      <c r="F16" s="122">
        <f>IFERROR(E16/$E$37,0)</f>
        <v>0.17653934663355816</v>
      </c>
      <c r="G16" s="43"/>
    </row>
    <row r="17" spans="1:7" s="4" customFormat="1" ht="15.75" customHeight="1">
      <c r="A17" s="48" t="str">
        <f>A56</f>
        <v>1.1. Coletor Turno Dia</v>
      </c>
      <c r="B17" s="44"/>
      <c r="C17" s="46"/>
      <c r="D17" s="46"/>
      <c r="E17" s="238">
        <f>F67</f>
        <v>3721.9942423552002</v>
      </c>
      <c r="F17" s="55">
        <f>IFERROR(E17/$E$37,0)</f>
        <v>9.3315608114739559E-2</v>
      </c>
      <c r="G17" s="6"/>
    </row>
    <row r="18" spans="1:7" s="4" customFormat="1" ht="15.75" customHeight="1">
      <c r="A18" s="48" t="str">
        <f>A69</f>
        <v>1.2. Coletor Turno Noite</v>
      </c>
      <c r="B18" s="44"/>
      <c r="C18" s="46"/>
      <c r="D18" s="46"/>
      <c r="E18" s="238">
        <f>F86</f>
        <v>0</v>
      </c>
      <c r="F18" s="55">
        <f t="shared" ref="F18:F36" si="0">IFERROR(E18/$E$37,0)</f>
        <v>0</v>
      </c>
      <c r="G18" s="6"/>
    </row>
    <row r="19" spans="1:7" s="4" customFormat="1" ht="15.75" customHeight="1">
      <c r="A19" s="48" t="str">
        <f>A88</f>
        <v>1.3. Motorista Turno do Dia</v>
      </c>
      <c r="B19" s="44"/>
      <c r="C19" s="46"/>
      <c r="D19" s="46"/>
      <c r="E19" s="238">
        <f>F101</f>
        <v>2567.4690775999998</v>
      </c>
      <c r="F19" s="55">
        <f t="shared" si="0"/>
        <v>6.4370045382023233E-2</v>
      </c>
      <c r="G19" s="6"/>
    </row>
    <row r="20" spans="1:7" s="4" customFormat="1" ht="15.75" customHeight="1">
      <c r="A20" s="48" t="str">
        <f>A103</f>
        <v>1.4. Motorista Turno Noite</v>
      </c>
      <c r="B20" s="44"/>
      <c r="C20" s="46"/>
      <c r="D20" s="46"/>
      <c r="E20" s="238">
        <f>F122</f>
        <v>0</v>
      </c>
      <c r="F20" s="55">
        <f t="shared" si="0"/>
        <v>0</v>
      </c>
      <c r="G20" s="6"/>
    </row>
    <row r="21" spans="1:7" s="4" customFormat="1" ht="15.75" customHeight="1">
      <c r="A21" s="48" t="str">
        <f>A124</f>
        <v>1.5. Vale Transporte</v>
      </c>
      <c r="B21" s="44"/>
      <c r="C21" s="46"/>
      <c r="D21" s="46"/>
      <c r="E21" s="238">
        <f>F130</f>
        <v>0</v>
      </c>
      <c r="F21" s="55">
        <f t="shared" si="0"/>
        <v>0</v>
      </c>
      <c r="G21" s="6"/>
    </row>
    <row r="22" spans="1:7" s="4" customFormat="1" ht="15.75" customHeight="1">
      <c r="A22" s="48" t="str">
        <f>A132</f>
        <v>1.6. Vale-refeição (diário)</v>
      </c>
      <c r="B22" s="44"/>
      <c r="C22" s="46"/>
      <c r="D22" s="46"/>
      <c r="E22" s="238">
        <f>F136</f>
        <v>702</v>
      </c>
      <c r="F22" s="55">
        <f t="shared" si="0"/>
        <v>1.7600123114402066E-2</v>
      </c>
      <c r="G22" s="6"/>
    </row>
    <row r="23" spans="1:7" s="4" customFormat="1" ht="15.75" customHeight="1">
      <c r="A23" s="48" t="str">
        <f>A138</f>
        <v>1.7. Auxílio Alimentação (mensal)</v>
      </c>
      <c r="B23" s="44"/>
      <c r="C23" s="46"/>
      <c r="D23" s="46"/>
      <c r="E23" s="238">
        <f>F142</f>
        <v>50</v>
      </c>
      <c r="F23" s="55">
        <f t="shared" si="0"/>
        <v>1.2535700223933095E-3</v>
      </c>
      <c r="G23" s="6"/>
    </row>
    <row r="24" spans="1:7" s="11" customFormat="1" ht="15.75" customHeight="1">
      <c r="A24" s="293" t="str">
        <f>A146</f>
        <v>2. Uniformes e Equipamentos de Proteção Individual</v>
      </c>
      <c r="B24" s="294"/>
      <c r="C24" s="294"/>
      <c r="D24" s="121"/>
      <c r="E24" s="237">
        <f>+F178</f>
        <v>358</v>
      </c>
      <c r="F24" s="122">
        <f t="shared" si="0"/>
        <v>8.975561360336096E-3</v>
      </c>
      <c r="G24" s="43"/>
    </row>
    <row r="25" spans="1:7" s="11" customFormat="1" ht="15.75" customHeight="1">
      <c r="A25" s="130" t="str">
        <f>A180</f>
        <v>3. Veículos e Equipamentos</v>
      </c>
      <c r="B25" s="131"/>
      <c r="C25" s="121"/>
      <c r="D25" s="121"/>
      <c r="E25" s="237">
        <f>+F257</f>
        <v>14634.42320494848</v>
      </c>
      <c r="F25" s="122">
        <f t="shared" si="0"/>
        <v>0.3669054844948087</v>
      </c>
      <c r="G25" s="43"/>
    </row>
    <row r="26" spans="1:7" s="4" customFormat="1" ht="15.75" customHeight="1">
      <c r="A26" s="62" t="str">
        <f>A182</f>
        <v>3.1. Veículo Coletor Compactador xx m³</v>
      </c>
      <c r="B26" s="45"/>
      <c r="C26" s="46"/>
      <c r="D26" s="46"/>
      <c r="E26" s="238">
        <f>SUM(E27:E32)</f>
        <v>14634.42320494848</v>
      </c>
      <c r="F26" s="136">
        <f t="shared" si="0"/>
        <v>0.3669054844948087</v>
      </c>
      <c r="G26" s="6"/>
    </row>
    <row r="27" spans="1:7" s="4" customFormat="1" ht="15.75" customHeight="1">
      <c r="A27" s="62" t="str">
        <f>A184</f>
        <v>3.1.1. Depreciação</v>
      </c>
      <c r="B27" s="45"/>
      <c r="C27" s="46"/>
      <c r="D27" s="46"/>
      <c r="E27" s="238">
        <f>F198</f>
        <v>689.64478678571436</v>
      </c>
      <c r="F27" s="136">
        <f t="shared" si="0"/>
        <v>1.7290360616287942E-2</v>
      </c>
      <c r="G27" s="6"/>
    </row>
    <row r="28" spans="1:7" s="4" customFormat="1" ht="15.75" customHeight="1">
      <c r="A28" s="62" t="str">
        <f>A200</f>
        <v>3.1.2. Remuneração do Capital</v>
      </c>
      <c r="B28" s="45"/>
      <c r="C28" s="46"/>
      <c r="D28" s="46"/>
      <c r="E28" s="238">
        <f>F214</f>
        <v>584.24873394999997</v>
      </c>
      <c r="F28" s="136">
        <f t="shared" si="0"/>
        <v>1.4647933970019286E-2</v>
      </c>
      <c r="G28" s="6"/>
    </row>
    <row r="29" spans="1:7" s="4" customFormat="1" ht="15.75" customHeight="1">
      <c r="A29" s="62" t="str">
        <f>A216</f>
        <v>3.1.3. Impostos e Seguros</v>
      </c>
      <c r="B29" s="45"/>
      <c r="C29" s="46"/>
      <c r="D29" s="46"/>
      <c r="E29" s="238">
        <f>F222</f>
        <v>384.87624999999997</v>
      </c>
      <c r="F29" s="136">
        <f t="shared" si="0"/>
        <v>9.6493865866230603E-3</v>
      </c>
      <c r="G29" s="6"/>
    </row>
    <row r="30" spans="1:7" s="4" customFormat="1" ht="15.75" customHeight="1">
      <c r="A30" s="62" t="str">
        <f>A224</f>
        <v>3.1.4. Consumos</v>
      </c>
      <c r="B30" s="45"/>
      <c r="C30" s="46"/>
      <c r="D30" s="46"/>
      <c r="E30" s="238">
        <f>F240</f>
        <v>8338.0024902127661</v>
      </c>
      <c r="F30" s="136">
        <f t="shared" si="0"/>
        <v>0.20904539936742977</v>
      </c>
      <c r="G30" s="6"/>
    </row>
    <row r="31" spans="1:7" s="4" customFormat="1" ht="15.75" customHeight="1">
      <c r="A31" s="62" t="str">
        <f>A242</f>
        <v>3.1.5. Manutenção</v>
      </c>
      <c r="B31" s="45"/>
      <c r="C31" s="46"/>
      <c r="D31" s="46"/>
      <c r="E31" s="238">
        <f>F245</f>
        <v>2378.64</v>
      </c>
      <c r="F31" s="136">
        <f t="shared" si="0"/>
        <v>5.9635835961312438E-2</v>
      </c>
      <c r="G31" s="6"/>
    </row>
    <row r="32" spans="1:7" s="4" customFormat="1" ht="15.75" customHeight="1">
      <c r="A32" s="62" t="str">
        <f>A247</f>
        <v>3.1.6. Pneus</v>
      </c>
      <c r="B32" s="45"/>
      <c r="C32" s="46"/>
      <c r="D32" s="46"/>
      <c r="E32" s="238">
        <f>F254</f>
        <v>2259.0109440000001</v>
      </c>
      <c r="F32" s="136">
        <f t="shared" si="0"/>
        <v>5.6636567993136232E-2</v>
      </c>
      <c r="G32" s="6"/>
    </row>
    <row r="33" spans="1:7" s="11" customFormat="1" ht="15.75" customHeight="1">
      <c r="A33" s="130" t="str">
        <f>A259</f>
        <v>4. Ferramentas e Materiais de Consumo</v>
      </c>
      <c r="B33" s="131"/>
      <c r="C33" s="121"/>
      <c r="D33" s="121"/>
      <c r="E33" s="237">
        <f>+F269</f>
        <v>530</v>
      </c>
      <c r="F33" s="122">
        <f t="shared" si="0"/>
        <v>1.3287842237369082E-2</v>
      </c>
      <c r="G33" s="43"/>
    </row>
    <row r="34" spans="1:7" s="11" customFormat="1" ht="15.75" customHeight="1">
      <c r="A34" s="130" t="str">
        <f>A271</f>
        <v>5. Monitoramento da Frota</v>
      </c>
      <c r="B34" s="131"/>
      <c r="C34" s="121"/>
      <c r="D34" s="121"/>
      <c r="E34" s="237">
        <f>+F280</f>
        <v>114.16666666666667</v>
      </c>
      <c r="F34" s="122">
        <f t="shared" si="0"/>
        <v>2.8623182177980569E-3</v>
      </c>
      <c r="G34" s="43"/>
    </row>
    <row r="35" spans="1:7" s="11" customFormat="1" ht="15.75" customHeight="1">
      <c r="A35" s="130" t="s">
        <v>319</v>
      </c>
      <c r="B35" s="131"/>
      <c r="C35" s="121"/>
      <c r="D35" s="121"/>
      <c r="E35" s="289">
        <v>10150</v>
      </c>
      <c r="F35" s="122">
        <f t="shared" si="0"/>
        <v>0.25447471454584186</v>
      </c>
      <c r="G35" s="43"/>
    </row>
    <row r="36" spans="1:7" s="11" customFormat="1" ht="15.75" customHeight="1" thickBot="1">
      <c r="A36" s="130" t="str">
        <f>A285</f>
        <v>7. Benefícios e Despesas Indiretas - BDI</v>
      </c>
      <c r="B36" s="131"/>
      <c r="C36" s="121"/>
      <c r="D36" s="121"/>
      <c r="E36" s="239">
        <f>+F291</f>
        <v>7058.0314361876253</v>
      </c>
      <c r="F36" s="122">
        <f t="shared" si="0"/>
        <v>0.17695473251028809</v>
      </c>
      <c r="G36" s="43"/>
    </row>
    <row r="37" spans="1:7" s="4" customFormat="1" ht="15.75" customHeight="1" thickBot="1">
      <c r="A37" s="41" t="s">
        <v>251</v>
      </c>
      <c r="B37" s="42"/>
      <c r="C37" s="26"/>
      <c r="D37" s="26"/>
      <c r="E37" s="109">
        <f>E16+E24+E25+E33+E34+E36+E35</f>
        <v>39886.084627757969</v>
      </c>
      <c r="F37" s="135">
        <f>F16+F24+F25+F33+F34+F36+F35</f>
        <v>1.0000000000000002</v>
      </c>
      <c r="G37" s="6"/>
    </row>
    <row r="39" spans="1:7" ht="13.5" thickBot="1"/>
    <row r="40" spans="1:7" s="4" customFormat="1" ht="15" customHeight="1" thickBot="1">
      <c r="A40" s="304" t="s">
        <v>103</v>
      </c>
      <c r="B40" s="305"/>
      <c r="C40" s="305"/>
      <c r="D40" s="305"/>
      <c r="E40" s="306"/>
      <c r="F40" s="10"/>
      <c r="G40" s="6"/>
    </row>
    <row r="41" spans="1:7" s="4" customFormat="1" ht="15" customHeight="1" thickBot="1">
      <c r="A41" s="301" t="s">
        <v>41</v>
      </c>
      <c r="B41" s="302"/>
      <c r="C41" s="302"/>
      <c r="D41" s="303"/>
      <c r="E41" s="47" t="s">
        <v>42</v>
      </c>
      <c r="F41" s="10"/>
      <c r="G41" s="6"/>
    </row>
    <row r="42" spans="1:7" s="4" customFormat="1" ht="15" customHeight="1">
      <c r="A42" s="70" t="str">
        <f>+A56</f>
        <v>1.1. Coletor Turno Dia</v>
      </c>
      <c r="B42" s="71"/>
      <c r="C42" s="71"/>
      <c r="D42" s="72"/>
      <c r="E42" s="73">
        <v>2</v>
      </c>
      <c r="F42" s="10"/>
      <c r="G42" s="6"/>
    </row>
    <row r="43" spans="1:7" s="4" customFormat="1" ht="15" customHeight="1">
      <c r="A43" s="64" t="str">
        <f>+A69</f>
        <v>1.2. Coletor Turno Noite</v>
      </c>
      <c r="B43" s="63"/>
      <c r="C43" s="63"/>
      <c r="D43" s="74"/>
      <c r="E43" s="67">
        <f>C85</f>
        <v>0</v>
      </c>
      <c r="F43" s="10"/>
      <c r="G43" s="6"/>
    </row>
    <row r="44" spans="1:7" s="4" customFormat="1" ht="15" customHeight="1">
      <c r="A44" s="64" t="str">
        <f>+A88</f>
        <v>1.3. Motorista Turno do Dia</v>
      </c>
      <c r="B44" s="63"/>
      <c r="C44" s="63"/>
      <c r="D44" s="74"/>
      <c r="E44" s="67">
        <v>1</v>
      </c>
      <c r="F44" s="10"/>
      <c r="G44" s="6"/>
    </row>
    <row r="45" spans="1:7" s="4" customFormat="1" ht="15" customHeight="1">
      <c r="A45" s="64" t="str">
        <f>+A103</f>
        <v>1.4. Motorista Turno Noite</v>
      </c>
      <c r="B45" s="63"/>
      <c r="C45" s="63"/>
      <c r="D45" s="74"/>
      <c r="E45" s="67">
        <f>C121</f>
        <v>0</v>
      </c>
      <c r="F45" s="10"/>
      <c r="G45" s="6"/>
    </row>
    <row r="46" spans="1:7" s="4" customFormat="1" ht="15" customHeight="1" thickBot="1">
      <c r="A46" s="68" t="s">
        <v>61</v>
      </c>
      <c r="B46" s="69"/>
      <c r="C46" s="69"/>
      <c r="D46" s="75"/>
      <c r="E46" s="76">
        <f>SUM(E42:E45)</f>
        <v>3</v>
      </c>
      <c r="F46" s="10"/>
      <c r="G46" s="6"/>
    </row>
    <row r="47" spans="1:7" s="4" customFormat="1" ht="15" customHeight="1" thickBot="1">
      <c r="A47" s="123"/>
      <c r="B47" s="124"/>
      <c r="C47" s="56"/>
      <c r="D47" s="56"/>
      <c r="E47" s="125"/>
      <c r="F47" s="10"/>
      <c r="G47" s="6"/>
    </row>
    <row r="48" spans="1:7" s="4" customFormat="1" ht="15" customHeight="1">
      <c r="A48" s="291" t="s">
        <v>58</v>
      </c>
      <c r="B48" s="292"/>
      <c r="C48" s="292"/>
      <c r="D48" s="292"/>
      <c r="E48" s="47" t="s">
        <v>42</v>
      </c>
      <c r="F48" s="9"/>
      <c r="G48" s="6"/>
    </row>
    <row r="49" spans="1:7" s="4" customFormat="1" ht="15" customHeight="1" thickBot="1">
      <c r="A49" s="126" t="str">
        <f>+A182</f>
        <v>3.1. Veículo Coletor Compactador xx m³</v>
      </c>
      <c r="B49" s="127"/>
      <c r="C49" s="127"/>
      <c r="D49" s="128"/>
      <c r="E49" s="129">
        <v>1</v>
      </c>
      <c r="F49" s="9"/>
      <c r="G49" s="6"/>
    </row>
    <row r="50" spans="1:7" s="4" customFormat="1" ht="15" customHeight="1">
      <c r="A50" s="56"/>
      <c r="B50" s="56"/>
      <c r="C50" s="56"/>
      <c r="D50" s="9"/>
      <c r="E50" s="231"/>
      <c r="F50" s="9"/>
      <c r="G50" s="6"/>
    </row>
    <row r="51" spans="1:7" s="4" customFormat="1" ht="13.5" thickBot="1">
      <c r="A51" s="56"/>
      <c r="B51" s="56"/>
      <c r="C51" s="56"/>
      <c r="D51" s="9"/>
      <c r="E51" s="65"/>
      <c r="F51" s="9"/>
      <c r="G51" s="6"/>
    </row>
    <row r="52" spans="1:7" s="11" customFormat="1" ht="15.75" customHeight="1" thickBot="1">
      <c r="A52" s="241" t="s">
        <v>207</v>
      </c>
      <c r="B52" s="242">
        <v>0.5</v>
      </c>
      <c r="C52" s="34"/>
      <c r="E52" s="144"/>
      <c r="G52" s="43"/>
    </row>
    <row r="53" spans="1:7" s="4" customFormat="1" ht="15.75" customHeight="1">
      <c r="A53" s="56"/>
      <c r="B53" s="56"/>
      <c r="C53" s="56"/>
      <c r="D53" s="9"/>
      <c r="E53" s="65"/>
      <c r="F53" s="9"/>
      <c r="G53" s="6"/>
    </row>
    <row r="54" spans="1:7" ht="13.15" customHeight="1">
      <c r="A54" s="11" t="s">
        <v>49</v>
      </c>
    </row>
    <row r="55" spans="1:7" ht="11.25" customHeight="1"/>
    <row r="56" spans="1:7" ht="13.9" customHeight="1" thickBot="1">
      <c r="A56" s="9" t="s">
        <v>106</v>
      </c>
    </row>
    <row r="57" spans="1:7" ht="13.9" customHeight="1" thickBot="1">
      <c r="A57" s="57" t="s">
        <v>66</v>
      </c>
      <c r="B57" s="58" t="s">
        <v>67</v>
      </c>
      <c r="C57" s="58" t="s">
        <v>42</v>
      </c>
      <c r="D57" s="59" t="s">
        <v>247</v>
      </c>
      <c r="E57" s="59" t="s">
        <v>68</v>
      </c>
      <c r="F57" s="60" t="s">
        <v>69</v>
      </c>
    </row>
    <row r="58" spans="1:7" ht="13.15" customHeight="1">
      <c r="A58" s="13" t="s">
        <v>224</v>
      </c>
      <c r="B58" s="14" t="s">
        <v>8</v>
      </c>
      <c r="C58" s="14">
        <v>1</v>
      </c>
      <c r="D58" s="82">
        <v>1558.4</v>
      </c>
      <c r="E58" s="15">
        <f>C58*D58</f>
        <v>1558.4</v>
      </c>
    </row>
    <row r="59" spans="1:7">
      <c r="A59" s="16" t="s">
        <v>36</v>
      </c>
      <c r="B59" s="17" t="s">
        <v>0</v>
      </c>
      <c r="C59" s="83"/>
      <c r="D59" s="18">
        <f>D58/220*2</f>
        <v>14.167272727272728</v>
      </c>
      <c r="E59" s="18">
        <f>C59*D59</f>
        <v>0</v>
      </c>
      <c r="G59" s="10" t="s">
        <v>262</v>
      </c>
    </row>
    <row r="60" spans="1:7" ht="13.15" customHeight="1">
      <c r="A60" s="16" t="s">
        <v>37</v>
      </c>
      <c r="B60" s="17" t="s">
        <v>0</v>
      </c>
      <c r="C60" s="83"/>
      <c r="D60" s="18">
        <f>D58/220*1.5</f>
        <v>10.625454545454545</v>
      </c>
      <c r="E60" s="18">
        <f>C60*D60</f>
        <v>0</v>
      </c>
      <c r="G60" s="10" t="s">
        <v>264</v>
      </c>
    </row>
    <row r="61" spans="1:7" ht="13.15" customHeight="1">
      <c r="A61" s="16" t="s">
        <v>228</v>
      </c>
      <c r="B61" s="17" t="s">
        <v>35</v>
      </c>
      <c r="D61" s="18">
        <f>63/302*(SUM(E59:E60))</f>
        <v>0</v>
      </c>
      <c r="E61" s="18">
        <f>D61</f>
        <v>0</v>
      </c>
      <c r="G61" s="10" t="s">
        <v>227</v>
      </c>
    </row>
    <row r="62" spans="1:7">
      <c r="A62" s="16" t="s">
        <v>1</v>
      </c>
      <c r="B62" s="17" t="s">
        <v>2</v>
      </c>
      <c r="C62" s="17">
        <v>40</v>
      </c>
      <c r="D62" s="78">
        <f>SUM(E58:E61)</f>
        <v>1558.4</v>
      </c>
      <c r="E62" s="18">
        <f>C62*D62/100</f>
        <v>623.36</v>
      </c>
    </row>
    <row r="63" spans="1:7">
      <c r="A63" s="111" t="s">
        <v>3</v>
      </c>
      <c r="B63" s="112"/>
      <c r="C63" s="112"/>
      <c r="D63" s="113"/>
      <c r="E63" s="114">
        <f>SUM(E58:E62)</f>
        <v>2181.7600000000002</v>
      </c>
    </row>
    <row r="64" spans="1:7">
      <c r="A64" s="16" t="s">
        <v>4</v>
      </c>
      <c r="B64" s="17" t="s">
        <v>2</v>
      </c>
      <c r="C64" s="133">
        <f>'2.Encargos Sociais'!$C$37*100</f>
        <v>70.595951999999997</v>
      </c>
      <c r="D64" s="18">
        <f>E63</f>
        <v>2181.7600000000002</v>
      </c>
      <c r="E64" s="18">
        <f>D64*C64/100</f>
        <v>1540.2342423552002</v>
      </c>
    </row>
    <row r="65" spans="1:7">
      <c r="A65" s="111" t="s">
        <v>76</v>
      </c>
      <c r="B65" s="112"/>
      <c r="C65" s="112"/>
      <c r="D65" s="113"/>
      <c r="E65" s="114">
        <f>E63+E64</f>
        <v>3721.9942423552002</v>
      </c>
    </row>
    <row r="66" spans="1:7" ht="13.5" thickBot="1">
      <c r="A66" s="16" t="s">
        <v>5</v>
      </c>
      <c r="B66" s="17" t="s">
        <v>6</v>
      </c>
      <c r="C66" s="81">
        <v>2</v>
      </c>
      <c r="D66" s="18">
        <f>E65</f>
        <v>3721.9942423552002</v>
      </c>
      <c r="E66" s="18">
        <f>C66*D66</f>
        <v>7443.9884847104004</v>
      </c>
      <c r="G66" s="6"/>
    </row>
    <row r="67" spans="1:7" ht="13.9" customHeight="1" thickBot="1">
      <c r="D67" s="117" t="s">
        <v>206</v>
      </c>
      <c r="E67" s="49">
        <v>0.5</v>
      </c>
      <c r="F67" s="118">
        <f>E66*E67</f>
        <v>3721.9942423552002</v>
      </c>
      <c r="G67" s="6"/>
    </row>
    <row r="68" spans="1:7" ht="11.25" customHeight="1"/>
    <row r="69" spans="1:7" ht="13.5" thickBot="1">
      <c r="A69" s="9" t="s">
        <v>94</v>
      </c>
    </row>
    <row r="70" spans="1:7" ht="13.5" thickBot="1">
      <c r="A70" s="57" t="s">
        <v>66</v>
      </c>
      <c r="B70" s="58" t="s">
        <v>67</v>
      </c>
      <c r="C70" s="58" t="s">
        <v>42</v>
      </c>
      <c r="D70" s="59" t="s">
        <v>247</v>
      </c>
      <c r="E70" s="59" t="s">
        <v>68</v>
      </c>
      <c r="F70" s="60" t="s">
        <v>69</v>
      </c>
    </row>
    <row r="71" spans="1:7">
      <c r="A71" s="13" t="s">
        <v>224</v>
      </c>
      <c r="B71" s="14" t="s">
        <v>8</v>
      </c>
      <c r="C71" s="14">
        <v>1</v>
      </c>
      <c r="D71" s="15">
        <v>1558.4</v>
      </c>
      <c r="E71" s="15">
        <f>C71*D71</f>
        <v>1558.4</v>
      </c>
    </row>
    <row r="72" spans="1:7">
      <c r="A72" s="16" t="s">
        <v>7</v>
      </c>
      <c r="B72" s="17" t="s">
        <v>104</v>
      </c>
      <c r="C72" s="83"/>
      <c r="D72" s="18"/>
      <c r="E72" s="18"/>
    </row>
    <row r="73" spans="1:7">
      <c r="A73" s="16"/>
      <c r="B73" s="17" t="s">
        <v>109</v>
      </c>
      <c r="C73" s="115">
        <f>C72*8/7</f>
        <v>0</v>
      </c>
      <c r="D73" s="18">
        <f>D71/220*0.2</f>
        <v>1.4167272727272728</v>
      </c>
      <c r="E73" s="18">
        <f>C73*D73</f>
        <v>0</v>
      </c>
    </row>
    <row r="74" spans="1:7">
      <c r="A74" s="16" t="s">
        <v>36</v>
      </c>
      <c r="B74" s="17" t="s">
        <v>0</v>
      </c>
      <c r="C74" s="83"/>
      <c r="D74" s="18">
        <f>D71/220*2</f>
        <v>14.167272727272728</v>
      </c>
      <c r="E74" s="18">
        <f>C74*D74</f>
        <v>0</v>
      </c>
      <c r="G74" s="10" t="s">
        <v>262</v>
      </c>
    </row>
    <row r="75" spans="1:7">
      <c r="A75" s="16" t="s">
        <v>105</v>
      </c>
      <c r="B75" s="17" t="s">
        <v>104</v>
      </c>
      <c r="C75" s="83"/>
      <c r="D75" s="18"/>
      <c r="E75" s="18"/>
      <c r="G75" s="10" t="s">
        <v>263</v>
      </c>
    </row>
    <row r="76" spans="1:7">
      <c r="A76" s="16"/>
      <c r="B76" s="17" t="s">
        <v>109</v>
      </c>
      <c r="C76" s="115">
        <f>C75*8/7</f>
        <v>0</v>
      </c>
      <c r="D76" s="18">
        <f>D71/220*2*1.2</f>
        <v>17.000727272727271</v>
      </c>
      <c r="E76" s="18">
        <f>C76*D76</f>
        <v>0</v>
      </c>
      <c r="G76" s="10" t="s">
        <v>263</v>
      </c>
    </row>
    <row r="77" spans="1:7">
      <c r="A77" s="16" t="s">
        <v>37</v>
      </c>
      <c r="B77" s="17" t="s">
        <v>0</v>
      </c>
      <c r="C77" s="83"/>
      <c r="D77" s="18">
        <f>D71/220*1.5</f>
        <v>10.625454545454545</v>
      </c>
      <c r="E77" s="18">
        <f>C77*D77</f>
        <v>0</v>
      </c>
      <c r="G77" s="10" t="s">
        <v>264</v>
      </c>
    </row>
    <row r="78" spans="1:7">
      <c r="A78" s="16" t="s">
        <v>226</v>
      </c>
      <c r="B78" s="17" t="s">
        <v>104</v>
      </c>
      <c r="C78" s="83"/>
      <c r="D78" s="18"/>
      <c r="E78" s="18"/>
      <c r="G78" s="10" t="s">
        <v>265</v>
      </c>
    </row>
    <row r="79" spans="1:7">
      <c r="A79" s="16"/>
      <c r="B79" s="17" t="s">
        <v>109</v>
      </c>
      <c r="C79" s="18">
        <f>C78*8/7</f>
        <v>0</v>
      </c>
      <c r="D79" s="18">
        <f>D71/220*1.5*1.2</f>
        <v>12.750545454545454</v>
      </c>
      <c r="E79" s="18">
        <f>C79*D79</f>
        <v>0</v>
      </c>
      <c r="G79" s="10" t="s">
        <v>265</v>
      </c>
    </row>
    <row r="80" spans="1:7" ht="13.15" customHeight="1">
      <c r="A80" s="16" t="s">
        <v>228</v>
      </c>
      <c r="B80" s="17" t="s">
        <v>35</v>
      </c>
      <c r="D80" s="18">
        <f>63/302*(SUM(E74:E79))</f>
        <v>0</v>
      </c>
      <c r="E80" s="18">
        <f>D80</f>
        <v>0</v>
      </c>
      <c r="G80" s="10" t="s">
        <v>227</v>
      </c>
    </row>
    <row r="81" spans="1:7">
      <c r="A81" s="16" t="s">
        <v>1</v>
      </c>
      <c r="B81" s="17" t="s">
        <v>2</v>
      </c>
      <c r="C81" s="17">
        <f>+C62</f>
        <v>40</v>
      </c>
      <c r="D81" s="78">
        <f>SUM(E71:E80)</f>
        <v>1558.4</v>
      </c>
      <c r="E81" s="18">
        <f>C81*D81/100</f>
        <v>623.36</v>
      </c>
    </row>
    <row r="82" spans="1:7">
      <c r="A82" s="111" t="s">
        <v>3</v>
      </c>
      <c r="B82" s="112"/>
      <c r="C82" s="112"/>
      <c r="D82" s="113"/>
      <c r="E82" s="114">
        <f>SUM(E71:E81)</f>
        <v>2181.7600000000002</v>
      </c>
    </row>
    <row r="83" spans="1:7">
      <c r="A83" s="16" t="s">
        <v>4</v>
      </c>
      <c r="B83" s="17" t="s">
        <v>2</v>
      </c>
      <c r="C83" s="133">
        <f>'2.Encargos Sociais'!$C$37*100</f>
        <v>70.595951999999997</v>
      </c>
      <c r="D83" s="18">
        <f>E82</f>
        <v>2181.7600000000002</v>
      </c>
      <c r="E83" s="18">
        <f>D83*C83/100</f>
        <v>1540.2342423552002</v>
      </c>
    </row>
    <row r="84" spans="1:7">
      <c r="A84" s="111" t="s">
        <v>76</v>
      </c>
      <c r="B84" s="112"/>
      <c r="C84" s="112"/>
      <c r="D84" s="113"/>
      <c r="E84" s="114">
        <f>E82+E83</f>
        <v>3721.9942423552002</v>
      </c>
    </row>
    <row r="85" spans="1:7" ht="13.5" thickBot="1">
      <c r="A85" s="16" t="s">
        <v>5</v>
      </c>
      <c r="B85" s="17" t="s">
        <v>6</v>
      </c>
      <c r="C85" s="81"/>
      <c r="D85" s="18">
        <f>E84</f>
        <v>3721.9942423552002</v>
      </c>
      <c r="E85" s="18">
        <f>C85*D85</f>
        <v>0</v>
      </c>
    </row>
    <row r="86" spans="1:7" ht="13.5" thickBot="1">
      <c r="D86" s="117" t="s">
        <v>206</v>
      </c>
      <c r="E86" s="49">
        <f>$B$52</f>
        <v>0.5</v>
      </c>
      <c r="F86" s="118">
        <f>E85*E86</f>
        <v>0</v>
      </c>
    </row>
    <row r="87" spans="1:7" ht="11.25" customHeight="1"/>
    <row r="88" spans="1:7" ht="13.5" thickBot="1">
      <c r="A88" s="9" t="s">
        <v>107</v>
      </c>
    </row>
    <row r="89" spans="1:7" s="12" customFormat="1" ht="13.15" customHeight="1" thickBot="1">
      <c r="A89" s="57" t="s">
        <v>66</v>
      </c>
      <c r="B89" s="58" t="s">
        <v>67</v>
      </c>
      <c r="C89" s="58" t="s">
        <v>42</v>
      </c>
      <c r="D89" s="59" t="s">
        <v>247</v>
      </c>
      <c r="E89" s="59" t="s">
        <v>68</v>
      </c>
      <c r="F89" s="60" t="s">
        <v>69</v>
      </c>
      <c r="G89" s="10"/>
    </row>
    <row r="90" spans="1:7">
      <c r="A90" s="282" t="s">
        <v>305</v>
      </c>
      <c r="B90" s="14" t="s">
        <v>8</v>
      </c>
      <c r="C90" s="14">
        <v>1</v>
      </c>
      <c r="D90" s="82">
        <v>3010</v>
      </c>
      <c r="E90" s="15">
        <f>C90*D90</f>
        <v>3010</v>
      </c>
    </row>
    <row r="91" spans="1:7">
      <c r="A91" s="282" t="s">
        <v>306</v>
      </c>
      <c r="B91" s="14" t="s">
        <v>8</v>
      </c>
      <c r="C91" s="14">
        <v>1</v>
      </c>
      <c r="D91" s="82">
        <v>1320</v>
      </c>
      <c r="E91" s="15"/>
    </row>
    <row r="92" spans="1:7">
      <c r="A92" s="16" t="s">
        <v>36</v>
      </c>
      <c r="B92" s="17" t="s">
        <v>0</v>
      </c>
      <c r="C92" s="83"/>
      <c r="D92" s="18">
        <f>D90/220*2</f>
        <v>27.363636363636363</v>
      </c>
      <c r="E92" s="18">
        <f>C92*D92</f>
        <v>0</v>
      </c>
      <c r="G92" s="10" t="s">
        <v>262</v>
      </c>
    </row>
    <row r="93" spans="1:7">
      <c r="A93" s="16" t="s">
        <v>37</v>
      </c>
      <c r="B93" s="17" t="s">
        <v>0</v>
      </c>
      <c r="C93" s="83"/>
      <c r="D93" s="18">
        <f>D90/220*1.5</f>
        <v>20.522727272727273</v>
      </c>
      <c r="E93" s="18">
        <f>C93*D93</f>
        <v>0</v>
      </c>
      <c r="G93" s="10" t="s">
        <v>264</v>
      </c>
    </row>
    <row r="94" spans="1:7" ht="13.15" customHeight="1">
      <c r="A94" s="16" t="s">
        <v>228</v>
      </c>
      <c r="B94" s="17" t="s">
        <v>35</v>
      </c>
      <c r="D94" s="18">
        <f>63/302*(SUM(E92:E93))</f>
        <v>0</v>
      </c>
      <c r="E94" s="18">
        <f>D94</f>
        <v>0</v>
      </c>
      <c r="G94" s="10" t="s">
        <v>227</v>
      </c>
    </row>
    <row r="95" spans="1:7">
      <c r="A95" s="16" t="s">
        <v>225</v>
      </c>
      <c r="B95" s="17"/>
      <c r="C95" s="85"/>
      <c r="D95" s="18"/>
      <c r="E95" s="18"/>
    </row>
    <row r="96" spans="1:7">
      <c r="A96" s="16" t="s">
        <v>1</v>
      </c>
      <c r="B96" s="17" t="s">
        <v>2</v>
      </c>
      <c r="C96" s="81"/>
      <c r="D96" s="78">
        <f>IF(C95=2,SUM(E90:E94),IF(C95=1,(SUM(E90:E94))*D91/D90,0))</f>
        <v>0</v>
      </c>
      <c r="E96" s="18">
        <f>C96*D96/100</f>
        <v>0</v>
      </c>
    </row>
    <row r="97" spans="1:7" s="11" customFormat="1">
      <c r="A97" s="97" t="s">
        <v>3</v>
      </c>
      <c r="B97" s="112"/>
      <c r="C97" s="112"/>
      <c r="D97" s="113"/>
      <c r="E97" s="99">
        <f>SUM(E90:E96)</f>
        <v>3010</v>
      </c>
      <c r="F97" s="43"/>
      <c r="G97" s="43"/>
    </row>
    <row r="98" spans="1:7">
      <c r="A98" s="16" t="s">
        <v>4</v>
      </c>
      <c r="B98" s="17" t="s">
        <v>2</v>
      </c>
      <c r="C98" s="133">
        <f>'2.Encargos Sociais'!$C$37*100</f>
        <v>70.595951999999997</v>
      </c>
      <c r="D98" s="18">
        <f>E97</f>
        <v>3010</v>
      </c>
      <c r="E98" s="18">
        <f>D98*C98/100</f>
        <v>2124.9381552</v>
      </c>
    </row>
    <row r="99" spans="1:7" s="11" customFormat="1">
      <c r="A99" s="97" t="s">
        <v>266</v>
      </c>
      <c r="B99" s="248"/>
      <c r="C99" s="248"/>
      <c r="D99" s="249"/>
      <c r="E99" s="99">
        <f>E97+E98</f>
        <v>5134.9381551999995</v>
      </c>
      <c r="F99" s="43"/>
      <c r="G99" s="43"/>
    </row>
    <row r="100" spans="1:7" ht="13.5" thickBot="1">
      <c r="A100" s="16" t="s">
        <v>5</v>
      </c>
      <c r="B100" s="17" t="s">
        <v>6</v>
      </c>
      <c r="C100" s="81">
        <v>1</v>
      </c>
      <c r="D100" s="18">
        <f>E99</f>
        <v>5134.9381551999995</v>
      </c>
      <c r="E100" s="18">
        <f>C100*D100</f>
        <v>5134.9381551999995</v>
      </c>
    </row>
    <row r="101" spans="1:7" ht="13.5" thickBot="1">
      <c r="D101" s="117" t="s">
        <v>206</v>
      </c>
      <c r="E101" s="49">
        <v>0.5</v>
      </c>
      <c r="F101" s="118">
        <f>E100*E101</f>
        <v>2567.4690775999998</v>
      </c>
    </row>
    <row r="102" spans="1:7" ht="11.25" customHeight="1"/>
    <row r="103" spans="1:7" ht="13.5" thickBot="1">
      <c r="A103" s="9" t="s">
        <v>108</v>
      </c>
    </row>
    <row r="104" spans="1:7" ht="13.5" thickBot="1">
      <c r="A104" s="57" t="s">
        <v>66</v>
      </c>
      <c r="B104" s="58" t="s">
        <v>67</v>
      </c>
      <c r="C104" s="58" t="s">
        <v>42</v>
      </c>
      <c r="D104" s="59" t="s">
        <v>247</v>
      </c>
      <c r="E104" s="59" t="s">
        <v>68</v>
      </c>
      <c r="F104" s="60" t="s">
        <v>69</v>
      </c>
    </row>
    <row r="105" spans="1:7">
      <c r="A105" s="282" t="s">
        <v>305</v>
      </c>
      <c r="B105" s="14" t="s">
        <v>8</v>
      </c>
      <c r="C105" s="14">
        <v>1</v>
      </c>
      <c r="D105" s="15">
        <f>D90</f>
        <v>3010</v>
      </c>
      <c r="E105" s="15">
        <f>C105*D105</f>
        <v>3010</v>
      </c>
    </row>
    <row r="106" spans="1:7">
      <c r="A106" s="282" t="s">
        <v>306</v>
      </c>
      <c r="B106" s="14" t="s">
        <v>8</v>
      </c>
      <c r="C106" s="14">
        <v>1</v>
      </c>
      <c r="D106" s="18">
        <f>D91</f>
        <v>1320</v>
      </c>
      <c r="E106" s="18"/>
    </row>
    <row r="107" spans="1:7">
      <c r="A107" s="16" t="s">
        <v>7</v>
      </c>
      <c r="B107" s="17" t="s">
        <v>104</v>
      </c>
      <c r="C107" s="83"/>
      <c r="D107" s="16"/>
      <c r="E107" s="16"/>
    </row>
    <row r="108" spans="1:7">
      <c r="A108" s="16"/>
      <c r="B108" s="17" t="s">
        <v>109</v>
      </c>
      <c r="C108" s="18">
        <f>C107*8/7</f>
        <v>0</v>
      </c>
      <c r="D108" s="18">
        <f>D105/220*0.2</f>
        <v>2.7363636363636363</v>
      </c>
      <c r="E108" s="18">
        <f>C108*D108</f>
        <v>0</v>
      </c>
    </row>
    <row r="109" spans="1:7">
      <c r="A109" s="16" t="s">
        <v>36</v>
      </c>
      <c r="B109" s="17" t="s">
        <v>0</v>
      </c>
      <c r="C109" s="83"/>
      <c r="D109" s="18">
        <f>D105/220*2</f>
        <v>27.363636363636363</v>
      </c>
      <c r="E109" s="18">
        <f>C109*D109</f>
        <v>0</v>
      </c>
      <c r="G109" s="10" t="s">
        <v>262</v>
      </c>
    </row>
    <row r="110" spans="1:7">
      <c r="A110" s="16" t="s">
        <v>105</v>
      </c>
      <c r="B110" s="17" t="s">
        <v>104</v>
      </c>
      <c r="C110" s="83"/>
      <c r="D110" s="18"/>
      <c r="E110" s="18"/>
      <c r="G110" s="10" t="s">
        <v>263</v>
      </c>
    </row>
    <row r="111" spans="1:7">
      <c r="A111" s="16"/>
      <c r="B111" s="17" t="s">
        <v>109</v>
      </c>
      <c r="C111" s="18">
        <f>C110*8/7</f>
        <v>0</v>
      </c>
      <c r="D111" s="18">
        <f>D105/220*2*1.2</f>
        <v>32.836363636363636</v>
      </c>
      <c r="E111" s="18">
        <f>C111*D111</f>
        <v>0</v>
      </c>
      <c r="G111" s="10" t="s">
        <v>263</v>
      </c>
    </row>
    <row r="112" spans="1:7">
      <c r="A112" s="16" t="s">
        <v>37</v>
      </c>
      <c r="B112" s="17" t="s">
        <v>0</v>
      </c>
      <c r="C112" s="83"/>
      <c r="D112" s="18">
        <f>D105/220*1.5</f>
        <v>20.522727272727273</v>
      </c>
      <c r="E112" s="18">
        <f>C112*D112</f>
        <v>0</v>
      </c>
      <c r="G112" s="10" t="s">
        <v>264</v>
      </c>
    </row>
    <row r="113" spans="1:7">
      <c r="A113" s="16" t="s">
        <v>226</v>
      </c>
      <c r="B113" s="17" t="s">
        <v>104</v>
      </c>
      <c r="C113" s="83"/>
      <c r="D113" s="18"/>
      <c r="E113" s="18"/>
      <c r="G113" s="10" t="s">
        <v>265</v>
      </c>
    </row>
    <row r="114" spans="1:7">
      <c r="A114" s="16"/>
      <c r="B114" s="17" t="s">
        <v>109</v>
      </c>
      <c r="C114" s="18">
        <f>C113*8/7</f>
        <v>0</v>
      </c>
      <c r="D114" s="18">
        <f>D105/220*1.5*1.2</f>
        <v>24.627272727272729</v>
      </c>
      <c r="E114" s="18">
        <f>C114*D114</f>
        <v>0</v>
      </c>
      <c r="G114" s="10" t="s">
        <v>265</v>
      </c>
    </row>
    <row r="115" spans="1:7" ht="13.15" customHeight="1">
      <c r="A115" s="16" t="s">
        <v>228</v>
      </c>
      <c r="B115" s="17" t="s">
        <v>35</v>
      </c>
      <c r="D115" s="18">
        <f>63/302*(SUM(E109:E114))</f>
        <v>0</v>
      </c>
      <c r="E115" s="18">
        <f>D115</f>
        <v>0</v>
      </c>
      <c r="G115" s="10" t="s">
        <v>227</v>
      </c>
    </row>
    <row r="116" spans="1:7">
      <c r="A116" s="16" t="s">
        <v>225</v>
      </c>
      <c r="B116" s="17"/>
      <c r="C116" s="85"/>
      <c r="D116" s="18"/>
      <c r="E116" s="18"/>
    </row>
    <row r="117" spans="1:7">
      <c r="A117" s="16" t="s">
        <v>1</v>
      </c>
      <c r="B117" s="17" t="s">
        <v>2</v>
      </c>
      <c r="C117" s="78">
        <f>+C96</f>
        <v>0</v>
      </c>
      <c r="D117" s="78">
        <f>IF(C116=2,SUM(E105:E115),IF(C116=1,SUM(E105:E115)*D106/D105,0))</f>
        <v>0</v>
      </c>
      <c r="E117" s="18">
        <f>C117*D117/100</f>
        <v>0</v>
      </c>
    </row>
    <row r="118" spans="1:7" s="11" customFormat="1">
      <c r="A118" s="111" t="s">
        <v>3</v>
      </c>
      <c r="B118" s="112"/>
      <c r="C118" s="112"/>
      <c r="D118" s="113"/>
      <c r="E118" s="114">
        <f>SUM(E105:E117)</f>
        <v>3010</v>
      </c>
      <c r="F118" s="43"/>
      <c r="G118" s="43"/>
    </row>
    <row r="119" spans="1:7">
      <c r="A119" s="16" t="s">
        <v>4</v>
      </c>
      <c r="B119" s="17" t="s">
        <v>2</v>
      </c>
      <c r="C119" s="133">
        <f>'2.Encargos Sociais'!$C$37*100</f>
        <v>70.595951999999997</v>
      </c>
      <c r="D119" s="18">
        <f>E118</f>
        <v>3010</v>
      </c>
      <c r="E119" s="18">
        <f>D119*C119/100</f>
        <v>2124.9381552</v>
      </c>
    </row>
    <row r="120" spans="1:7" s="11" customFormat="1">
      <c r="A120" s="111" t="s">
        <v>266</v>
      </c>
      <c r="B120" s="112"/>
      <c r="C120" s="112"/>
      <c r="D120" s="113"/>
      <c r="E120" s="114">
        <f>E118+E119</f>
        <v>5134.9381551999995</v>
      </c>
      <c r="F120" s="43"/>
      <c r="G120" s="43"/>
    </row>
    <row r="121" spans="1:7" ht="13.5" thickBot="1">
      <c r="A121" s="16" t="s">
        <v>5</v>
      </c>
      <c r="B121" s="17" t="s">
        <v>6</v>
      </c>
      <c r="C121" s="81"/>
      <c r="D121" s="18">
        <f>E120</f>
        <v>5134.9381551999995</v>
      </c>
      <c r="E121" s="18">
        <f>C121*D121</f>
        <v>0</v>
      </c>
    </row>
    <row r="122" spans="1:7" ht="13.5" thickBot="1">
      <c r="D122" s="117" t="s">
        <v>206</v>
      </c>
      <c r="E122" s="49">
        <f>$B$52</f>
        <v>0.5</v>
      </c>
      <c r="F122" s="118">
        <f>E121*E122</f>
        <v>0</v>
      </c>
    </row>
    <row r="123" spans="1:7" ht="11.25" customHeight="1">
      <c r="G123" s="9"/>
    </row>
    <row r="124" spans="1:7" ht="13.5" thickBot="1">
      <c r="A124" s="9" t="s">
        <v>110</v>
      </c>
      <c r="B124" s="88"/>
      <c r="D124" s="9"/>
      <c r="E124" s="9"/>
      <c r="G124" s="9"/>
    </row>
    <row r="125" spans="1:7" ht="13.5" thickBot="1">
      <c r="A125" s="57" t="s">
        <v>66</v>
      </c>
      <c r="B125" s="58" t="s">
        <v>67</v>
      </c>
      <c r="C125" s="58" t="s">
        <v>42</v>
      </c>
      <c r="D125" s="59" t="s">
        <v>247</v>
      </c>
      <c r="E125" s="59" t="s">
        <v>68</v>
      </c>
      <c r="F125" s="60" t="s">
        <v>69</v>
      </c>
      <c r="G125" s="9"/>
    </row>
    <row r="126" spans="1:7">
      <c r="A126" s="16" t="s">
        <v>95</v>
      </c>
      <c r="B126" s="17" t="s">
        <v>35</v>
      </c>
      <c r="C126" s="89">
        <v>1</v>
      </c>
      <c r="D126" s="87"/>
      <c r="E126" s="18"/>
      <c r="G126" s="9"/>
    </row>
    <row r="127" spans="1:7">
      <c r="A127" s="16" t="s">
        <v>96</v>
      </c>
      <c r="B127" s="17" t="s">
        <v>97</v>
      </c>
      <c r="C127" s="86"/>
      <c r="D127" s="18"/>
      <c r="E127" s="18"/>
      <c r="G127" s="9"/>
    </row>
    <row r="128" spans="1:7">
      <c r="A128" s="16" t="s">
        <v>77</v>
      </c>
      <c r="B128" s="17" t="s">
        <v>9</v>
      </c>
      <c r="C128" s="36">
        <f>$C$127*2*(C66+C85)</f>
        <v>0</v>
      </c>
      <c r="D128" s="15" t="str">
        <f>IFERROR((($C$127*2*$D$126)-(E58*0.06*C127/26))/($C$127*2),"-")</f>
        <v>-</v>
      </c>
      <c r="E128" s="18" t="str">
        <f>IFERROR(C128*D128,"-")</f>
        <v>-</v>
      </c>
      <c r="G128" s="9"/>
    </row>
    <row r="129" spans="1:7" ht="13.5" thickBot="1">
      <c r="A129" s="13" t="s">
        <v>46</v>
      </c>
      <c r="B129" s="14" t="s">
        <v>9</v>
      </c>
      <c r="C129" s="36">
        <f>$C$127*2*(C100+C121)</f>
        <v>0</v>
      </c>
      <c r="D129" s="15" t="str">
        <f>IFERROR((($C$127*2*$D$126)-(E90*0.06*C127/26))/($C$127*2),"-")</f>
        <v>-</v>
      </c>
      <c r="E129" s="15" t="str">
        <f>IFERROR(C129*D129,"-")</f>
        <v>-</v>
      </c>
      <c r="G129" s="9"/>
    </row>
    <row r="130" spans="1:7" ht="13.5" thickBot="1">
      <c r="F130" s="22">
        <f>SUM(E128:E129)</f>
        <v>0</v>
      </c>
      <c r="G130" s="9"/>
    </row>
    <row r="131" spans="1:7" ht="11.25" customHeight="1">
      <c r="G131" s="9"/>
    </row>
    <row r="132" spans="1:7" ht="13.5" thickBot="1">
      <c r="A132" s="9" t="s">
        <v>133</v>
      </c>
      <c r="F132" s="23"/>
      <c r="G132" s="9"/>
    </row>
    <row r="133" spans="1:7" ht="13.5" thickBot="1">
      <c r="A133" s="57" t="s">
        <v>66</v>
      </c>
      <c r="B133" s="58" t="s">
        <v>67</v>
      </c>
      <c r="C133" s="58" t="s">
        <v>42</v>
      </c>
      <c r="D133" s="59" t="s">
        <v>247</v>
      </c>
      <c r="E133" s="59" t="s">
        <v>68</v>
      </c>
      <c r="F133" s="60" t="s">
        <v>69</v>
      </c>
      <c r="G133" s="9"/>
    </row>
    <row r="134" spans="1:7">
      <c r="A134" s="16" t="str">
        <f>+A128</f>
        <v>Coletor</v>
      </c>
      <c r="B134" s="17" t="s">
        <v>10</v>
      </c>
      <c r="C134" s="96">
        <v>26</v>
      </c>
      <c r="D134" s="84">
        <v>9</v>
      </c>
      <c r="E134" s="49">
        <f>C134*D134</f>
        <v>234</v>
      </c>
      <c r="F134" s="23"/>
      <c r="G134" s="9"/>
    </row>
    <row r="135" spans="1:7" ht="13.5" thickBot="1">
      <c r="A135" s="16" t="str">
        <f>+A129</f>
        <v>Motorista</v>
      </c>
      <c r="B135" s="17" t="s">
        <v>10</v>
      </c>
      <c r="C135" s="96">
        <v>26</v>
      </c>
      <c r="D135" s="84">
        <v>18</v>
      </c>
      <c r="E135" s="49">
        <f>C135*D135</f>
        <v>468</v>
      </c>
      <c r="F135" s="23"/>
      <c r="G135" s="9"/>
    </row>
    <row r="136" spans="1:7" ht="13.5" thickBot="1">
      <c r="F136" s="22">
        <f>SUM(E134:E135)</f>
        <v>702</v>
      </c>
      <c r="G136" s="9"/>
    </row>
    <row r="137" spans="1:7">
      <c r="G137" s="9"/>
    </row>
    <row r="138" spans="1:7" ht="13.5" thickBot="1">
      <c r="A138" s="9" t="s">
        <v>134</v>
      </c>
      <c r="F138" s="23"/>
      <c r="G138" s="9"/>
    </row>
    <row r="139" spans="1:7" ht="13.5" thickBot="1">
      <c r="A139" s="57" t="s">
        <v>66</v>
      </c>
      <c r="B139" s="58" t="s">
        <v>67</v>
      </c>
      <c r="C139" s="58" t="s">
        <v>42</v>
      </c>
      <c r="D139" s="59" t="s">
        <v>247</v>
      </c>
      <c r="E139" s="59" t="s">
        <v>68</v>
      </c>
      <c r="F139" s="60" t="s">
        <v>69</v>
      </c>
      <c r="G139" s="9"/>
    </row>
    <row r="140" spans="1:7">
      <c r="A140" s="16" t="str">
        <f>+A134</f>
        <v>Coletor</v>
      </c>
      <c r="B140" s="17" t="s">
        <v>10</v>
      </c>
      <c r="C140" s="96">
        <f>E42+E43</f>
        <v>2</v>
      </c>
      <c r="D140" s="84"/>
      <c r="E140" s="49">
        <f>C140*D140</f>
        <v>0</v>
      </c>
      <c r="F140" s="23"/>
      <c r="G140" s="9"/>
    </row>
    <row r="141" spans="1:7" ht="13.5" thickBot="1">
      <c r="A141" s="16" t="str">
        <f>+A135</f>
        <v>Motorista</v>
      </c>
      <c r="B141" s="17" t="s">
        <v>10</v>
      </c>
      <c r="C141" s="96">
        <f>E44+E45</f>
        <v>1</v>
      </c>
      <c r="D141" s="84">
        <v>100</v>
      </c>
      <c r="E141" s="49">
        <f>C141*D141</f>
        <v>100</v>
      </c>
      <c r="F141" s="23"/>
      <c r="G141" s="9"/>
    </row>
    <row r="142" spans="1:7" ht="13.5" thickBot="1">
      <c r="D142" s="117" t="s">
        <v>206</v>
      </c>
      <c r="E142" s="49">
        <f>$B$52</f>
        <v>0.5</v>
      </c>
      <c r="F142" s="22">
        <f>SUM(E140:E141)*E142</f>
        <v>50</v>
      </c>
      <c r="G142" s="9"/>
    </row>
    <row r="143" spans="1:7" ht="13.5" thickBot="1">
      <c r="G143" s="9"/>
    </row>
    <row r="144" spans="1:7" ht="13.5" thickBot="1">
      <c r="A144" s="24" t="s">
        <v>98</v>
      </c>
      <c r="B144" s="25"/>
      <c r="C144" s="25"/>
      <c r="D144" s="26"/>
      <c r="E144" s="27"/>
      <c r="F144" s="22">
        <f>F142+F136+F130+F122+F101+F86+F67</f>
        <v>7041.4633199551999</v>
      </c>
      <c r="G144" s="9"/>
    </row>
    <row r="146" spans="1:7">
      <c r="A146" s="11" t="s">
        <v>47</v>
      </c>
      <c r="G146" s="9"/>
    </row>
    <row r="147" spans="1:7" ht="11.25" customHeight="1">
      <c r="G147" s="9"/>
    </row>
    <row r="148" spans="1:7" ht="13.9" customHeight="1">
      <c r="A148" s="9" t="s">
        <v>208</v>
      </c>
      <c r="G148" s="9"/>
    </row>
    <row r="149" spans="1:7" ht="11.25" customHeight="1" thickBot="1">
      <c r="G149" s="9"/>
    </row>
    <row r="150" spans="1:7" ht="27.75" customHeight="1" thickBot="1">
      <c r="A150" s="57" t="s">
        <v>66</v>
      </c>
      <c r="B150" s="58" t="s">
        <v>67</v>
      </c>
      <c r="C150" s="250" t="s">
        <v>267</v>
      </c>
      <c r="D150" s="59" t="s">
        <v>247</v>
      </c>
      <c r="E150" s="59" t="s">
        <v>68</v>
      </c>
      <c r="F150" s="60" t="s">
        <v>69</v>
      </c>
      <c r="G150" s="9"/>
    </row>
    <row r="151" spans="1:7">
      <c r="A151" s="13" t="s">
        <v>70</v>
      </c>
      <c r="B151" s="14" t="s">
        <v>10</v>
      </c>
      <c r="C151" s="95">
        <v>6</v>
      </c>
      <c r="D151" s="82">
        <v>30</v>
      </c>
      <c r="E151" s="15">
        <f>IFERROR(D151/C151,0)</f>
        <v>5</v>
      </c>
      <c r="G151" s="9"/>
    </row>
    <row r="152" spans="1:7" ht="13.15" customHeight="1">
      <c r="A152" s="16" t="s">
        <v>30</v>
      </c>
      <c r="B152" s="17" t="s">
        <v>10</v>
      </c>
      <c r="C152" s="95">
        <v>4</v>
      </c>
      <c r="D152" s="82">
        <v>50</v>
      </c>
      <c r="E152" s="15">
        <f t="shared" ref="E152:E160" si="1">IFERROR(D152/C152,0)</f>
        <v>12.5</v>
      </c>
      <c r="G152" s="9"/>
    </row>
    <row r="153" spans="1:7">
      <c r="A153" s="16" t="s">
        <v>31</v>
      </c>
      <c r="B153" s="17" t="s">
        <v>10</v>
      </c>
      <c r="C153" s="95">
        <v>2</v>
      </c>
      <c r="D153" s="82">
        <v>35</v>
      </c>
      <c r="E153" s="15">
        <f t="shared" si="1"/>
        <v>17.5</v>
      </c>
      <c r="G153" s="9"/>
    </row>
    <row r="154" spans="1:7" ht="13.15" customHeight="1">
      <c r="A154" s="16" t="s">
        <v>32</v>
      </c>
      <c r="B154" s="17" t="s">
        <v>10</v>
      </c>
      <c r="C154" s="95">
        <v>2</v>
      </c>
      <c r="D154" s="82">
        <v>15</v>
      </c>
      <c r="E154" s="15">
        <f t="shared" si="1"/>
        <v>7.5</v>
      </c>
      <c r="G154" s="9"/>
    </row>
    <row r="155" spans="1:7" ht="13.9" customHeight="1">
      <c r="A155" s="16" t="s">
        <v>72</v>
      </c>
      <c r="B155" s="17" t="s">
        <v>50</v>
      </c>
      <c r="C155" s="95">
        <v>2</v>
      </c>
      <c r="D155" s="82">
        <v>50</v>
      </c>
      <c r="E155" s="15">
        <f t="shared" si="1"/>
        <v>25</v>
      </c>
      <c r="G155" s="9"/>
    </row>
    <row r="156" spans="1:7" ht="13.15" customHeight="1">
      <c r="A156" s="16" t="s">
        <v>99</v>
      </c>
      <c r="B156" s="17" t="s">
        <v>50</v>
      </c>
      <c r="C156" s="95">
        <v>1</v>
      </c>
      <c r="D156" s="82">
        <v>10</v>
      </c>
      <c r="E156" s="15">
        <f t="shared" si="1"/>
        <v>10</v>
      </c>
    </row>
    <row r="157" spans="1:7">
      <c r="A157" s="16" t="s">
        <v>71</v>
      </c>
      <c r="B157" s="17" t="s">
        <v>10</v>
      </c>
      <c r="C157" s="95">
        <v>1</v>
      </c>
      <c r="D157" s="82">
        <v>65</v>
      </c>
      <c r="E157" s="15">
        <f t="shared" si="1"/>
        <v>65</v>
      </c>
    </row>
    <row r="158" spans="1:7" s="1" customFormat="1">
      <c r="A158" s="2" t="s">
        <v>11</v>
      </c>
      <c r="B158" s="3" t="s">
        <v>10</v>
      </c>
      <c r="C158" s="95">
        <v>1</v>
      </c>
      <c r="D158" s="82">
        <v>30</v>
      </c>
      <c r="E158" s="15">
        <f t="shared" si="1"/>
        <v>30</v>
      </c>
      <c r="F158" s="37"/>
      <c r="G158" s="37"/>
    </row>
    <row r="159" spans="1:7">
      <c r="A159" s="16" t="s">
        <v>33</v>
      </c>
      <c r="B159" s="17" t="s">
        <v>50</v>
      </c>
      <c r="C159" s="95">
        <v>4</v>
      </c>
      <c r="D159" s="82">
        <v>10</v>
      </c>
      <c r="E159" s="15">
        <f t="shared" si="1"/>
        <v>2.5</v>
      </c>
    </row>
    <row r="160" spans="1:7" ht="13.15" customHeight="1">
      <c r="A160" s="16" t="s">
        <v>65</v>
      </c>
      <c r="B160" s="17" t="s">
        <v>51</v>
      </c>
      <c r="C160" s="95">
        <v>2</v>
      </c>
      <c r="D160" s="82">
        <v>18</v>
      </c>
      <c r="E160" s="15">
        <f t="shared" si="1"/>
        <v>9</v>
      </c>
    </row>
    <row r="161" spans="1:7">
      <c r="A161" s="16" t="s">
        <v>209</v>
      </c>
      <c r="B161" s="17" t="s">
        <v>135</v>
      </c>
      <c r="C161" s="66">
        <v>1</v>
      </c>
      <c r="D161" s="82">
        <v>90</v>
      </c>
      <c r="E161" s="18">
        <f t="shared" ref="E161:E162" si="2">C161*D161</f>
        <v>90</v>
      </c>
    </row>
    <row r="162" spans="1:7" ht="13.5" thickBot="1">
      <c r="A162" s="16" t="s">
        <v>5</v>
      </c>
      <c r="B162" s="17" t="s">
        <v>6</v>
      </c>
      <c r="C162" s="66">
        <f>E42+E43</f>
        <v>2</v>
      </c>
      <c r="D162" s="18">
        <f>+SUM(E151:E161)</f>
        <v>274</v>
      </c>
      <c r="E162" s="18">
        <f t="shared" si="2"/>
        <v>548</v>
      </c>
    </row>
    <row r="163" spans="1:7" ht="13.5" thickBot="1">
      <c r="D163" s="117" t="s">
        <v>206</v>
      </c>
      <c r="E163" s="49">
        <f>$B$52</f>
        <v>0.5</v>
      </c>
      <c r="F163" s="118">
        <f>E162*E163</f>
        <v>274</v>
      </c>
    </row>
    <row r="164" spans="1:7" ht="11.25" customHeight="1"/>
    <row r="165" spans="1:7" ht="13.9" customHeight="1">
      <c r="A165" s="9" t="s">
        <v>210</v>
      </c>
    </row>
    <row r="166" spans="1:7" ht="11.25" customHeight="1" thickBot="1"/>
    <row r="167" spans="1:7" ht="24.75" thickBot="1">
      <c r="A167" s="57" t="s">
        <v>66</v>
      </c>
      <c r="B167" s="58" t="s">
        <v>67</v>
      </c>
      <c r="C167" s="250" t="s">
        <v>267</v>
      </c>
      <c r="D167" s="59" t="s">
        <v>247</v>
      </c>
      <c r="E167" s="59" t="s">
        <v>68</v>
      </c>
      <c r="F167" s="60" t="s">
        <v>69</v>
      </c>
    </row>
    <row r="168" spans="1:7">
      <c r="A168" s="13" t="s">
        <v>70</v>
      </c>
      <c r="B168" s="14" t="s">
        <v>10</v>
      </c>
      <c r="C168" s="95">
        <v>1</v>
      </c>
      <c r="D168" s="15">
        <f>+D151</f>
        <v>30</v>
      </c>
      <c r="E168" s="15">
        <f>IFERROR(D168/C168,0)</f>
        <v>30</v>
      </c>
    </row>
    <row r="169" spans="1:7">
      <c r="A169" s="16" t="s">
        <v>30</v>
      </c>
      <c r="B169" s="17" t="s">
        <v>10</v>
      </c>
      <c r="C169" s="95">
        <v>4</v>
      </c>
      <c r="D169" s="18">
        <f>+D152</f>
        <v>50</v>
      </c>
      <c r="E169" s="15">
        <f t="shared" ref="E169:E173" si="3">IFERROR(D169/C169,0)</f>
        <v>12.5</v>
      </c>
    </row>
    <row r="170" spans="1:7">
      <c r="A170" s="16" t="s">
        <v>31</v>
      </c>
      <c r="B170" s="17" t="s">
        <v>10</v>
      </c>
      <c r="C170" s="95">
        <v>2</v>
      </c>
      <c r="D170" s="18">
        <f>+D153</f>
        <v>35</v>
      </c>
      <c r="E170" s="15">
        <f t="shared" si="3"/>
        <v>17.5</v>
      </c>
    </row>
    <row r="171" spans="1:7">
      <c r="A171" s="16" t="s">
        <v>72</v>
      </c>
      <c r="B171" s="17" t="s">
        <v>50</v>
      </c>
      <c r="C171" s="95">
        <v>2</v>
      </c>
      <c r="D171" s="18">
        <f>+D155</f>
        <v>50</v>
      </c>
      <c r="E171" s="15">
        <f t="shared" si="3"/>
        <v>25</v>
      </c>
    </row>
    <row r="172" spans="1:7">
      <c r="A172" s="16" t="s">
        <v>71</v>
      </c>
      <c r="B172" s="17" t="s">
        <v>10</v>
      </c>
      <c r="C172" s="95">
        <v>1</v>
      </c>
      <c r="D172" s="18">
        <f>+D157</f>
        <v>65</v>
      </c>
      <c r="E172" s="15">
        <f t="shared" si="3"/>
        <v>65</v>
      </c>
      <c r="G172" s="9"/>
    </row>
    <row r="173" spans="1:7">
      <c r="A173" s="16" t="s">
        <v>65</v>
      </c>
      <c r="B173" s="17" t="s">
        <v>51</v>
      </c>
      <c r="C173" s="95">
        <v>1</v>
      </c>
      <c r="D173" s="18">
        <f>+D160</f>
        <v>18</v>
      </c>
      <c r="E173" s="15">
        <f t="shared" si="3"/>
        <v>18</v>
      </c>
      <c r="G173" s="9"/>
    </row>
    <row r="174" spans="1:7">
      <c r="A174" s="16" t="s">
        <v>209</v>
      </c>
      <c r="B174" s="17" t="s">
        <v>135</v>
      </c>
      <c r="C174" s="66">
        <v>1</v>
      </c>
      <c r="D174" s="82"/>
      <c r="E174" s="18">
        <f t="shared" ref="E174:E175" si="4">C174*D174</f>
        <v>0</v>
      </c>
      <c r="G174" s="9"/>
    </row>
    <row r="175" spans="1:7" ht="13.5" thickBot="1">
      <c r="A175" s="16" t="s">
        <v>5</v>
      </c>
      <c r="B175" s="17" t="s">
        <v>6</v>
      </c>
      <c r="C175" s="66">
        <f>E44+E45</f>
        <v>1</v>
      </c>
      <c r="D175" s="18">
        <f>+SUM(E168:E174)</f>
        <v>168</v>
      </c>
      <c r="E175" s="18">
        <f t="shared" si="4"/>
        <v>168</v>
      </c>
      <c r="G175" s="9"/>
    </row>
    <row r="176" spans="1:7" ht="13.5" thickBot="1">
      <c r="D176" s="117" t="s">
        <v>206</v>
      </c>
      <c r="E176" s="49">
        <f>$B$52</f>
        <v>0.5</v>
      </c>
      <c r="F176" s="118">
        <f>E175*E176</f>
        <v>84</v>
      </c>
      <c r="G176" s="9"/>
    </row>
    <row r="177" spans="1:10" ht="11.25" customHeight="1" thickBot="1">
      <c r="G177" s="9"/>
    </row>
    <row r="178" spans="1:10" ht="13.5" thickBot="1">
      <c r="A178" s="24" t="s">
        <v>211</v>
      </c>
      <c r="B178" s="28"/>
      <c r="C178" s="28"/>
      <c r="D178" s="29"/>
      <c r="E178" s="30"/>
      <c r="F178" s="21">
        <f>+F163+F176</f>
        <v>358</v>
      </c>
      <c r="G178" s="9"/>
    </row>
    <row r="179" spans="1:10" ht="11.25" customHeight="1">
      <c r="G179" s="9"/>
    </row>
    <row r="180" spans="1:10">
      <c r="A180" s="11" t="s">
        <v>56</v>
      </c>
      <c r="G180" s="9"/>
    </row>
    <row r="181" spans="1:10" ht="11.25" customHeight="1">
      <c r="B181" s="101"/>
      <c r="G181" s="9"/>
    </row>
    <row r="182" spans="1:10">
      <c r="A182" s="9" t="s">
        <v>100</v>
      </c>
      <c r="G182" s="9"/>
    </row>
    <row r="183" spans="1:10" ht="11.25" customHeight="1">
      <c r="G183" s="9"/>
    </row>
    <row r="184" spans="1:10" ht="13.5" thickBot="1">
      <c r="A184" s="101" t="s">
        <v>48</v>
      </c>
      <c r="G184" s="9"/>
    </row>
    <row r="185" spans="1:10" ht="13.5" thickBot="1">
      <c r="A185" s="57" t="s">
        <v>66</v>
      </c>
      <c r="B185" s="58" t="s">
        <v>67</v>
      </c>
      <c r="C185" s="58" t="s">
        <v>42</v>
      </c>
      <c r="D185" s="59" t="s">
        <v>247</v>
      </c>
      <c r="E185" s="59" t="s">
        <v>68</v>
      </c>
      <c r="F185" s="60" t="s">
        <v>69</v>
      </c>
      <c r="G185" s="9"/>
    </row>
    <row r="186" spans="1:10">
      <c r="A186" s="13" t="s">
        <v>117</v>
      </c>
      <c r="B186" s="14" t="s">
        <v>10</v>
      </c>
      <c r="C186" s="14">
        <v>1</v>
      </c>
      <c r="D186" s="82">
        <v>214293</v>
      </c>
      <c r="E186" s="15">
        <f>C186*D186</f>
        <v>214293</v>
      </c>
      <c r="G186" s="9"/>
    </row>
    <row r="187" spans="1:10">
      <c r="A187" s="16" t="s">
        <v>111</v>
      </c>
      <c r="B187" s="17" t="s">
        <v>112</v>
      </c>
      <c r="C187" s="81">
        <v>10</v>
      </c>
      <c r="D187" s="78"/>
      <c r="E187" s="18"/>
      <c r="G187" s="9"/>
    </row>
    <row r="188" spans="1:10">
      <c r="A188" s="16" t="s">
        <v>219</v>
      </c>
      <c r="B188" s="17" t="s">
        <v>112</v>
      </c>
      <c r="C188" s="81">
        <v>7</v>
      </c>
      <c r="D188" s="18"/>
      <c r="E188" s="18"/>
      <c r="F188" s="20"/>
      <c r="I188" s="80"/>
      <c r="J188" s="80"/>
    </row>
    <row r="189" spans="1:10">
      <c r="A189" s="16" t="s">
        <v>115</v>
      </c>
      <c r="B189" s="17" t="s">
        <v>2</v>
      </c>
      <c r="C189" s="133">
        <f>IFERROR(VLOOKUP(C187,'5. Depreciação'!A3:B17,2,FALSE),0)</f>
        <v>65.180000000000007</v>
      </c>
      <c r="D189" s="18">
        <f>E186</f>
        <v>214293</v>
      </c>
      <c r="E189" s="18">
        <f>C189*D189/100</f>
        <v>139676.17740000002</v>
      </c>
    </row>
    <row r="190" spans="1:10" ht="13.5" thickBot="1">
      <c r="A190" s="257" t="s">
        <v>52</v>
      </c>
      <c r="B190" s="258" t="s">
        <v>8</v>
      </c>
      <c r="C190" s="258">
        <f>C187*12</f>
        <v>120</v>
      </c>
      <c r="D190" s="259">
        <f>IF(C188&lt;=C187,E189,0)</f>
        <v>139676.17740000002</v>
      </c>
      <c r="E190" s="259">
        <f>IFERROR(D190/C190,0)</f>
        <v>1163.968145</v>
      </c>
    </row>
    <row r="191" spans="1:10" ht="13.5" thickTop="1">
      <c r="A191" s="13" t="s">
        <v>116</v>
      </c>
      <c r="B191" s="14" t="s">
        <v>10</v>
      </c>
      <c r="C191" s="14">
        <f>C186</f>
        <v>1</v>
      </c>
      <c r="D191" s="82">
        <v>30000</v>
      </c>
      <c r="E191" s="15">
        <f>C191*D191</f>
        <v>30000</v>
      </c>
      <c r="G191" s="9"/>
    </row>
    <row r="192" spans="1:10">
      <c r="A192" s="16" t="s">
        <v>113</v>
      </c>
      <c r="B192" s="17" t="s">
        <v>112</v>
      </c>
      <c r="C192" s="81">
        <v>7</v>
      </c>
      <c r="D192" s="18"/>
      <c r="E192" s="18"/>
    </row>
    <row r="193" spans="1:10">
      <c r="A193" s="16" t="s">
        <v>220</v>
      </c>
      <c r="B193" s="17" t="s">
        <v>112</v>
      </c>
      <c r="C193" s="81">
        <v>7</v>
      </c>
      <c r="D193" s="18"/>
      <c r="E193" s="18"/>
      <c r="F193" s="20"/>
      <c r="I193" s="80"/>
      <c r="J193" s="80"/>
    </row>
    <row r="194" spans="1:10">
      <c r="A194" s="16" t="s">
        <v>114</v>
      </c>
      <c r="B194" s="17" t="s">
        <v>2</v>
      </c>
      <c r="C194" s="134">
        <f>IFERROR(VLOOKUP(C192,'5. Depreciação'!A3:B17,2,FALSE),0)</f>
        <v>60.29</v>
      </c>
      <c r="D194" s="18">
        <f>E191</f>
        <v>30000</v>
      </c>
      <c r="E194" s="18">
        <f>C194*D194/100</f>
        <v>18087</v>
      </c>
    </row>
    <row r="195" spans="1:10">
      <c r="A195" s="97" t="s">
        <v>118</v>
      </c>
      <c r="B195" s="98" t="s">
        <v>8</v>
      </c>
      <c r="C195" s="98">
        <f>C192*12</f>
        <v>84</v>
      </c>
      <c r="D195" s="99">
        <f>IF(C193&lt;=C192,E194,0)</f>
        <v>18087</v>
      </c>
      <c r="E195" s="99">
        <f>IFERROR(D195/C195,0)</f>
        <v>215.32142857142858</v>
      </c>
    </row>
    <row r="196" spans="1:10">
      <c r="A196" s="111" t="s">
        <v>270</v>
      </c>
      <c r="B196" s="112"/>
      <c r="C196" s="112"/>
      <c r="D196" s="113"/>
      <c r="E196" s="114">
        <f>E190+E195</f>
        <v>1379.2895735714287</v>
      </c>
    </row>
    <row r="197" spans="1:10" ht="13.5" thickBot="1">
      <c r="A197" s="97" t="s">
        <v>271</v>
      </c>
      <c r="B197" s="98" t="s">
        <v>10</v>
      </c>
      <c r="C197" s="81">
        <v>1</v>
      </c>
      <c r="D197" s="99">
        <f>E196</f>
        <v>1379.2895735714287</v>
      </c>
      <c r="E197" s="114">
        <f>C197*D197</f>
        <v>1379.2895735714287</v>
      </c>
    </row>
    <row r="198" spans="1:10" ht="13.5" thickBot="1">
      <c r="A198" s="255"/>
      <c r="B198" s="255"/>
      <c r="C198" s="255"/>
      <c r="D198" s="117" t="s">
        <v>206</v>
      </c>
      <c r="E198" s="49">
        <f>$B$52</f>
        <v>0.5</v>
      </c>
      <c r="F198" s="21">
        <f>E197*E198</f>
        <v>689.64478678571436</v>
      </c>
    </row>
    <row r="199" spans="1:10" ht="11.25" customHeight="1"/>
    <row r="200" spans="1:10" ht="13.5" thickBot="1">
      <c r="A200" s="101" t="s">
        <v>123</v>
      </c>
    </row>
    <row r="201" spans="1:10" ht="13.5" thickBot="1">
      <c r="A201" s="103" t="s">
        <v>66</v>
      </c>
      <c r="B201" s="104" t="s">
        <v>67</v>
      </c>
      <c r="C201" s="104" t="s">
        <v>42</v>
      </c>
      <c r="D201" s="59" t="s">
        <v>247</v>
      </c>
      <c r="E201" s="105" t="s">
        <v>68</v>
      </c>
      <c r="F201" s="60" t="s">
        <v>69</v>
      </c>
      <c r="I201" s="80"/>
      <c r="J201" s="80"/>
    </row>
    <row r="202" spans="1:10">
      <c r="A202" s="16" t="s">
        <v>121</v>
      </c>
      <c r="B202" s="17" t="s">
        <v>10</v>
      </c>
      <c r="C202" s="14">
        <v>1</v>
      </c>
      <c r="D202" s="18">
        <f>D186</f>
        <v>214293</v>
      </c>
      <c r="E202" s="18">
        <f>C202*D202</f>
        <v>214293</v>
      </c>
      <c r="F202" s="20"/>
      <c r="I202" s="80"/>
      <c r="J202" s="80"/>
    </row>
    <row r="203" spans="1:10">
      <c r="A203" s="16" t="s">
        <v>223</v>
      </c>
      <c r="B203" s="17" t="s">
        <v>2</v>
      </c>
      <c r="C203" s="81">
        <v>12.25</v>
      </c>
      <c r="D203" s="18"/>
      <c r="E203" s="18"/>
      <c r="F203" s="20"/>
      <c r="I203" s="80"/>
      <c r="J203" s="80"/>
    </row>
    <row r="204" spans="1:10">
      <c r="A204" s="16" t="s">
        <v>221</v>
      </c>
      <c r="B204" s="17" t="s">
        <v>35</v>
      </c>
      <c r="C204" s="139">
        <f>IFERROR(IF(C188&lt;=C187,E186-(C189/(100*C187)*C188)*E186,E186-E189),0)</f>
        <v>116519.67582</v>
      </c>
      <c r="D204" s="18"/>
      <c r="E204" s="18"/>
      <c r="F204" s="20"/>
      <c r="I204" s="80"/>
      <c r="J204" s="80"/>
    </row>
    <row r="205" spans="1:10">
      <c r="A205" s="16" t="s">
        <v>126</v>
      </c>
      <c r="B205" s="17" t="s">
        <v>35</v>
      </c>
      <c r="C205" s="78">
        <f>IFERROR(IF(C188&gt;=C187,C204,((((C204)-(E186-E189))*(((C187-C188)+1)/(2*(C187-C188))))+(E186-E189))),0)</f>
        <v>102552.05807999999</v>
      </c>
      <c r="D205" s="18"/>
      <c r="E205" s="18"/>
      <c r="F205" s="20"/>
      <c r="I205" s="80"/>
      <c r="J205" s="80"/>
    </row>
    <row r="206" spans="1:10" ht="13.5" thickBot="1">
      <c r="A206" s="257" t="s">
        <v>127</v>
      </c>
      <c r="B206" s="258" t="s">
        <v>35</v>
      </c>
      <c r="C206" s="258"/>
      <c r="D206" s="260">
        <f>C203*C205/12/100</f>
        <v>1046.8855928999999</v>
      </c>
      <c r="E206" s="259">
        <f>D206</f>
        <v>1046.8855928999999</v>
      </c>
      <c r="F206" s="20"/>
      <c r="I206" s="80"/>
      <c r="J206" s="80"/>
    </row>
    <row r="207" spans="1:10" ht="13.5" thickTop="1">
      <c r="A207" s="13" t="s">
        <v>122</v>
      </c>
      <c r="B207" s="14" t="s">
        <v>10</v>
      </c>
      <c r="C207" s="14">
        <f>C191</f>
        <v>1</v>
      </c>
      <c r="D207" s="15">
        <f>D191</f>
        <v>30000</v>
      </c>
      <c r="E207" s="15">
        <f>C207*D207</f>
        <v>30000</v>
      </c>
      <c r="F207" s="20"/>
      <c r="I207" s="80"/>
      <c r="J207" s="80"/>
    </row>
    <row r="208" spans="1:10">
      <c r="A208" s="16" t="s">
        <v>223</v>
      </c>
      <c r="B208" s="17" t="s">
        <v>2</v>
      </c>
      <c r="C208" s="17">
        <f>C203</f>
        <v>12.25</v>
      </c>
      <c r="D208" s="18"/>
      <c r="E208" s="18"/>
      <c r="F208" s="20"/>
      <c r="I208" s="80"/>
      <c r="J208" s="80"/>
    </row>
    <row r="209" spans="1:10">
      <c r="A209" s="16" t="s">
        <v>222</v>
      </c>
      <c r="B209" s="17" t="s">
        <v>35</v>
      </c>
      <c r="C209" s="139">
        <f>IFERROR(IF(C193&lt;=C192,E191-(C194/(100*C192)*C193)*E191,E191-E194),0)</f>
        <v>11913</v>
      </c>
      <c r="D209" s="18"/>
      <c r="E209" s="18"/>
      <c r="F209" s="20"/>
      <c r="I209" s="80"/>
      <c r="J209" s="80"/>
    </row>
    <row r="210" spans="1:10">
      <c r="A210" s="16" t="s">
        <v>128</v>
      </c>
      <c r="B210" s="17" t="s">
        <v>35</v>
      </c>
      <c r="C210" s="78">
        <f>IFERROR(IF(C193&gt;=C192,C209,((((C209)-(E191-E194))*(((C192-C193)+1)/(2*(C192-C193))))+(E191-E194))),0)</f>
        <v>11913</v>
      </c>
      <c r="D210" s="18"/>
      <c r="E210" s="18"/>
      <c r="F210" s="20"/>
      <c r="I210" s="80"/>
      <c r="J210" s="80"/>
    </row>
    <row r="211" spans="1:10">
      <c r="A211" s="97" t="s">
        <v>125</v>
      </c>
      <c r="B211" s="98" t="s">
        <v>35</v>
      </c>
      <c r="C211" s="98"/>
      <c r="D211" s="107">
        <f>C208*C210/12/100</f>
        <v>121.611875</v>
      </c>
      <c r="E211" s="99">
        <f>D211</f>
        <v>121.611875</v>
      </c>
      <c r="F211" s="20"/>
      <c r="I211" s="80"/>
      <c r="J211" s="80"/>
    </row>
    <row r="212" spans="1:10">
      <c r="A212" s="111" t="s">
        <v>270</v>
      </c>
      <c r="B212" s="112"/>
      <c r="C212" s="112"/>
      <c r="D212" s="113"/>
      <c r="E212" s="114">
        <f>E206+E211</f>
        <v>1168.4974678999999</v>
      </c>
      <c r="F212" s="20"/>
      <c r="I212" s="80"/>
      <c r="J212" s="80"/>
    </row>
    <row r="213" spans="1:10" ht="13.5" thickBot="1">
      <c r="A213" s="97" t="s">
        <v>271</v>
      </c>
      <c r="B213" s="98" t="s">
        <v>10</v>
      </c>
      <c r="C213" s="17">
        <f>C197</f>
        <v>1</v>
      </c>
      <c r="D213" s="99">
        <f>E212</f>
        <v>1168.4974678999999</v>
      </c>
      <c r="E213" s="114">
        <f>C213*D213</f>
        <v>1168.4974678999999</v>
      </c>
      <c r="F213" s="20"/>
      <c r="I213" s="80"/>
      <c r="J213" s="80"/>
    </row>
    <row r="214" spans="1:10" ht="13.5" thickBot="1">
      <c r="C214" s="19"/>
      <c r="D214" s="117" t="s">
        <v>206</v>
      </c>
      <c r="E214" s="49">
        <f>$B$52</f>
        <v>0.5</v>
      </c>
      <c r="F214" s="21">
        <f>E213*E214</f>
        <v>584.24873394999997</v>
      </c>
      <c r="I214" s="80"/>
      <c r="J214" s="80"/>
    </row>
    <row r="215" spans="1:10" ht="11.25" customHeight="1">
      <c r="I215" s="80"/>
      <c r="J215" s="80"/>
    </row>
    <row r="216" spans="1:10" ht="13.5" thickBot="1">
      <c r="A216" s="9" t="s">
        <v>53</v>
      </c>
      <c r="I216" s="80"/>
      <c r="J216" s="80"/>
    </row>
    <row r="217" spans="1:10" ht="13.5" thickBot="1">
      <c r="A217" s="57" t="s">
        <v>66</v>
      </c>
      <c r="B217" s="58" t="s">
        <v>67</v>
      </c>
      <c r="C217" s="58" t="s">
        <v>42</v>
      </c>
      <c r="D217" s="59" t="s">
        <v>247</v>
      </c>
      <c r="E217" s="59" t="s">
        <v>68</v>
      </c>
      <c r="F217" s="60" t="s">
        <v>69</v>
      </c>
      <c r="I217" s="80"/>
      <c r="J217" s="80"/>
    </row>
    <row r="218" spans="1:10">
      <c r="A218" s="13" t="s">
        <v>12</v>
      </c>
      <c r="B218" s="14" t="s">
        <v>10</v>
      </c>
      <c r="C218" s="15">
        <f>C197</f>
        <v>1</v>
      </c>
      <c r="D218" s="15">
        <f>0.01*($E$186)</f>
        <v>2142.9299999999998</v>
      </c>
      <c r="E218" s="15">
        <f>C218*D218</f>
        <v>2142.9299999999998</v>
      </c>
      <c r="I218" s="80"/>
      <c r="J218" s="80"/>
    </row>
    <row r="219" spans="1:10">
      <c r="A219" s="16" t="s">
        <v>205</v>
      </c>
      <c r="B219" s="17" t="s">
        <v>10</v>
      </c>
      <c r="C219" s="15">
        <f>C197</f>
        <v>1</v>
      </c>
      <c r="D219" s="84">
        <v>94.1</v>
      </c>
      <c r="E219" s="18">
        <f>C219*D219</f>
        <v>94.1</v>
      </c>
      <c r="I219" s="80"/>
      <c r="J219" s="80"/>
    </row>
    <row r="220" spans="1:10">
      <c r="A220" s="16" t="s">
        <v>13</v>
      </c>
      <c r="B220" s="17" t="s">
        <v>10</v>
      </c>
      <c r="C220" s="15">
        <f>C197</f>
        <v>1</v>
      </c>
      <c r="D220" s="84">
        <v>7000</v>
      </c>
      <c r="E220" s="18">
        <f>C220*D220</f>
        <v>7000</v>
      </c>
      <c r="F220" s="31"/>
      <c r="I220" s="80"/>
      <c r="J220" s="80"/>
    </row>
    <row r="221" spans="1:10" ht="13.5" thickBot="1">
      <c r="A221" s="97" t="s">
        <v>14</v>
      </c>
      <c r="B221" s="98" t="s">
        <v>8</v>
      </c>
      <c r="C221" s="98">
        <v>12</v>
      </c>
      <c r="D221" s="99">
        <f>SUM(E218:E220)</f>
        <v>9237.0299999999988</v>
      </c>
      <c r="E221" s="99">
        <f>D221/C221</f>
        <v>769.75249999999994</v>
      </c>
      <c r="I221" s="80"/>
      <c r="J221" s="80"/>
    </row>
    <row r="222" spans="1:10" ht="13.5" thickBot="1">
      <c r="D222" s="117" t="s">
        <v>206</v>
      </c>
      <c r="E222" s="49">
        <f>$B$52</f>
        <v>0.5</v>
      </c>
      <c r="F222" s="118">
        <f>E221*E222</f>
        <v>384.87624999999997</v>
      </c>
      <c r="I222" s="80"/>
      <c r="J222" s="80"/>
    </row>
    <row r="223" spans="1:10" ht="11.25" customHeight="1">
      <c r="I223" s="80"/>
      <c r="J223" s="80"/>
    </row>
    <row r="224" spans="1:10">
      <c r="A224" s="9" t="s">
        <v>54</v>
      </c>
      <c r="B224" s="32"/>
      <c r="I224" s="80"/>
      <c r="J224" s="80"/>
    </row>
    <row r="225" spans="1:10">
      <c r="B225" s="32"/>
      <c r="I225" s="80"/>
      <c r="J225" s="80"/>
    </row>
    <row r="226" spans="1:10">
      <c r="A226" s="97" t="s">
        <v>130</v>
      </c>
      <c r="B226" s="108">
        <v>2798.4</v>
      </c>
      <c r="I226" s="80"/>
      <c r="J226" s="80"/>
    </row>
    <row r="227" spans="1:10" ht="13.5" thickBot="1">
      <c r="B227" s="32"/>
      <c r="I227" s="80"/>
      <c r="J227" s="80"/>
    </row>
    <row r="228" spans="1:10" ht="13.5" thickBot="1">
      <c r="A228" s="57" t="s">
        <v>66</v>
      </c>
      <c r="B228" s="58" t="s">
        <v>67</v>
      </c>
      <c r="C228" s="58" t="s">
        <v>269</v>
      </c>
      <c r="D228" s="59" t="s">
        <v>247</v>
      </c>
      <c r="E228" s="59" t="s">
        <v>68</v>
      </c>
      <c r="F228" s="60" t="s">
        <v>69</v>
      </c>
      <c r="I228" s="80"/>
      <c r="J228" s="80"/>
    </row>
    <row r="229" spans="1:10">
      <c r="A229" s="13" t="s">
        <v>15</v>
      </c>
      <c r="B229" s="14" t="s">
        <v>16</v>
      </c>
      <c r="C229" s="91">
        <v>2.35</v>
      </c>
      <c r="D229" s="92">
        <v>6.7409999999999997</v>
      </c>
      <c r="E229" s="15"/>
      <c r="I229" s="80"/>
      <c r="J229" s="80"/>
    </row>
    <row r="230" spans="1:10">
      <c r="A230" s="16" t="s">
        <v>17</v>
      </c>
      <c r="B230" s="17" t="s">
        <v>18</v>
      </c>
      <c r="C230" s="89">
        <f>B226</f>
        <v>2798.4</v>
      </c>
      <c r="D230" s="254">
        <f>IFERROR(+D229/C229,"-")</f>
        <v>2.868510638297872</v>
      </c>
      <c r="E230" s="18">
        <f>IFERROR(C230*D230,"-")</f>
        <v>8027.2401702127654</v>
      </c>
      <c r="I230" s="80"/>
      <c r="J230" s="80"/>
    </row>
    <row r="231" spans="1:10">
      <c r="A231" s="16" t="s">
        <v>248</v>
      </c>
      <c r="B231" s="17" t="s">
        <v>19</v>
      </c>
      <c r="C231" s="94">
        <v>3</v>
      </c>
      <c r="D231" s="84">
        <v>10</v>
      </c>
      <c r="E231" s="18"/>
      <c r="G231" s="106"/>
      <c r="I231" s="80"/>
      <c r="J231" s="80"/>
    </row>
    <row r="232" spans="1:10">
      <c r="A232" s="16" t="s">
        <v>20</v>
      </c>
      <c r="B232" s="17" t="s">
        <v>18</v>
      </c>
      <c r="C232" s="89">
        <f>C230</f>
        <v>2798.4</v>
      </c>
      <c r="D232" s="251">
        <f>+C231*D231/1000</f>
        <v>0.03</v>
      </c>
      <c r="E232" s="18">
        <f>C232*D232</f>
        <v>83.951999999999998</v>
      </c>
      <c r="G232" s="106"/>
      <c r="I232" s="80"/>
      <c r="J232" s="80"/>
    </row>
    <row r="233" spans="1:10">
      <c r="A233" s="16" t="s">
        <v>249</v>
      </c>
      <c r="B233" s="17" t="s">
        <v>19</v>
      </c>
      <c r="C233" s="94">
        <v>0.85</v>
      </c>
      <c r="D233" s="84">
        <v>13</v>
      </c>
      <c r="E233" s="18"/>
      <c r="G233" s="106"/>
      <c r="I233" s="80"/>
      <c r="J233" s="80"/>
    </row>
    <row r="234" spans="1:10">
      <c r="A234" s="16" t="s">
        <v>21</v>
      </c>
      <c r="B234" s="17" t="s">
        <v>18</v>
      </c>
      <c r="C234" s="89">
        <f>C230</f>
        <v>2798.4</v>
      </c>
      <c r="D234" s="251">
        <f>+C233*D233/1000</f>
        <v>1.1049999999999999E-2</v>
      </c>
      <c r="E234" s="18">
        <f>C234*D234</f>
        <v>30.922319999999999</v>
      </c>
      <c r="G234" s="106"/>
      <c r="I234" s="80"/>
      <c r="J234" s="80"/>
    </row>
    <row r="235" spans="1:10">
      <c r="A235" s="16" t="s">
        <v>250</v>
      </c>
      <c r="B235" s="17" t="s">
        <v>19</v>
      </c>
      <c r="C235" s="94">
        <v>5</v>
      </c>
      <c r="D235" s="84">
        <v>10</v>
      </c>
      <c r="E235" s="18"/>
      <c r="G235" s="106"/>
      <c r="I235" s="80"/>
      <c r="J235" s="80"/>
    </row>
    <row r="236" spans="1:10">
      <c r="A236" s="16" t="s">
        <v>22</v>
      </c>
      <c r="B236" s="17" t="s">
        <v>18</v>
      </c>
      <c r="C236" s="89">
        <f>C230</f>
        <v>2798.4</v>
      </c>
      <c r="D236" s="251">
        <f>+C235*D235/1000</f>
        <v>0.05</v>
      </c>
      <c r="E236" s="18">
        <f>C236*D236</f>
        <v>139.92000000000002</v>
      </c>
      <c r="G236" s="106"/>
      <c r="I236" s="80"/>
      <c r="J236" s="80"/>
    </row>
    <row r="237" spans="1:10">
      <c r="A237" s="16" t="s">
        <v>23</v>
      </c>
      <c r="B237" s="17" t="s">
        <v>24</v>
      </c>
      <c r="C237" s="94">
        <v>2</v>
      </c>
      <c r="D237" s="84">
        <v>10</v>
      </c>
      <c r="E237" s="18"/>
      <c r="G237" s="106"/>
      <c r="I237" s="80"/>
      <c r="J237" s="80"/>
    </row>
    <row r="238" spans="1:10">
      <c r="A238" s="16" t="s">
        <v>25</v>
      </c>
      <c r="B238" s="17" t="s">
        <v>18</v>
      </c>
      <c r="C238" s="89">
        <f>C230</f>
        <v>2798.4</v>
      </c>
      <c r="D238" s="251">
        <f>+C237*D237/1000</f>
        <v>0.02</v>
      </c>
      <c r="E238" s="18">
        <f>C238*D238</f>
        <v>55.968000000000004</v>
      </c>
      <c r="G238" s="106"/>
      <c r="I238" s="80"/>
      <c r="J238" s="80"/>
    </row>
    <row r="239" spans="1:10" ht="13.5" thickBot="1">
      <c r="A239" s="97" t="s">
        <v>268</v>
      </c>
      <c r="B239" s="98" t="s">
        <v>131</v>
      </c>
      <c r="C239" s="252"/>
      <c r="D239" s="253">
        <f>IFERROR(D230+D232+D234+D236+D238,0)</f>
        <v>2.9795606382978717</v>
      </c>
      <c r="E239" s="18"/>
      <c r="G239" s="106"/>
      <c r="I239" s="80"/>
      <c r="J239" s="80"/>
    </row>
    <row r="240" spans="1:10" ht="13.5" thickBot="1">
      <c r="F240" s="21">
        <f>SUM(E229:E238)</f>
        <v>8338.0024902127661</v>
      </c>
      <c r="I240" s="80"/>
      <c r="J240" s="80"/>
    </row>
    <row r="241" spans="1:10" ht="11.25" customHeight="1">
      <c r="I241" s="80"/>
      <c r="J241" s="80"/>
    </row>
    <row r="242" spans="1:10" ht="13.5" thickBot="1">
      <c r="A242" s="9" t="s">
        <v>55</v>
      </c>
      <c r="I242" s="80"/>
      <c r="J242" s="80"/>
    </row>
    <row r="243" spans="1:10" ht="13.5" thickBot="1">
      <c r="A243" s="57" t="s">
        <v>66</v>
      </c>
      <c r="B243" s="58" t="s">
        <v>67</v>
      </c>
      <c r="C243" s="58" t="s">
        <v>42</v>
      </c>
      <c r="D243" s="59" t="s">
        <v>247</v>
      </c>
      <c r="E243" s="59" t="s">
        <v>68</v>
      </c>
      <c r="F243" s="60" t="s">
        <v>69</v>
      </c>
      <c r="I243" s="80"/>
      <c r="J243" s="80"/>
    </row>
    <row r="244" spans="1:10" ht="13.5" thickBot="1">
      <c r="A244" s="13" t="s">
        <v>129</v>
      </c>
      <c r="B244" s="14" t="s">
        <v>131</v>
      </c>
      <c r="C244" s="89">
        <f>C230</f>
        <v>2798.4</v>
      </c>
      <c r="D244" s="82">
        <v>0.85</v>
      </c>
      <c r="E244" s="15">
        <f>C244*D244</f>
        <v>2378.64</v>
      </c>
      <c r="I244" s="80"/>
      <c r="J244" s="80"/>
    </row>
    <row r="245" spans="1:10" ht="13.5" thickBot="1">
      <c r="F245" s="21">
        <f>E244</f>
        <v>2378.64</v>
      </c>
      <c r="I245" s="80"/>
      <c r="J245" s="80"/>
    </row>
    <row r="246" spans="1:10" ht="11.25" customHeight="1">
      <c r="I246" s="80"/>
      <c r="J246" s="80"/>
    </row>
    <row r="247" spans="1:10" ht="13.5" thickBot="1">
      <c r="A247" s="9" t="s">
        <v>64</v>
      </c>
      <c r="I247" s="80"/>
      <c r="J247" s="80"/>
    </row>
    <row r="248" spans="1:10" ht="13.5" thickBot="1">
      <c r="A248" s="57" t="s">
        <v>66</v>
      </c>
      <c r="B248" s="58" t="s">
        <v>67</v>
      </c>
      <c r="C248" s="58" t="s">
        <v>42</v>
      </c>
      <c r="D248" s="59" t="s">
        <v>247</v>
      </c>
      <c r="E248" s="59" t="s">
        <v>68</v>
      </c>
      <c r="F248" s="60" t="s">
        <v>69</v>
      </c>
      <c r="I248" s="80"/>
      <c r="J248" s="80"/>
    </row>
    <row r="249" spans="1:10">
      <c r="A249" s="13" t="s">
        <v>101</v>
      </c>
      <c r="B249" s="14" t="s">
        <v>10</v>
      </c>
      <c r="C249" s="90">
        <v>12</v>
      </c>
      <c r="D249" s="82">
        <v>2899.9</v>
      </c>
      <c r="E249" s="15">
        <f>C249*D249</f>
        <v>34798.800000000003</v>
      </c>
      <c r="I249" s="80"/>
      <c r="J249" s="80"/>
    </row>
    <row r="250" spans="1:10">
      <c r="A250" s="13" t="s">
        <v>132</v>
      </c>
      <c r="B250" s="14" t="s">
        <v>10</v>
      </c>
      <c r="C250" s="90">
        <v>1</v>
      </c>
      <c r="D250" s="100"/>
      <c r="E250" s="15"/>
      <c r="I250" s="80"/>
      <c r="J250" s="80"/>
    </row>
    <row r="251" spans="1:10">
      <c r="A251" s="13" t="s">
        <v>74</v>
      </c>
      <c r="B251" s="14" t="s">
        <v>10</v>
      </c>
      <c r="C251" s="15">
        <f>C249*C250</f>
        <v>12</v>
      </c>
      <c r="D251" s="82">
        <v>800</v>
      </c>
      <c r="E251" s="15">
        <f>C251*D251</f>
        <v>9600</v>
      </c>
      <c r="I251" s="80"/>
      <c r="J251" s="80"/>
    </row>
    <row r="252" spans="1:10">
      <c r="A252" s="16" t="s">
        <v>102</v>
      </c>
      <c r="B252" s="17" t="s">
        <v>26</v>
      </c>
      <c r="C252" s="93">
        <v>55000</v>
      </c>
      <c r="D252" s="18">
        <f>E249+E251</f>
        <v>44398.8</v>
      </c>
      <c r="E252" s="18">
        <f>IFERROR(D252/C252,"-")</f>
        <v>0.80725090909090913</v>
      </c>
      <c r="I252" s="80"/>
      <c r="J252" s="80"/>
    </row>
    <row r="253" spans="1:10" ht="13.5" thickBot="1">
      <c r="A253" s="16" t="s">
        <v>57</v>
      </c>
      <c r="B253" s="17" t="s">
        <v>18</v>
      </c>
      <c r="C253" s="89">
        <f>B226</f>
        <v>2798.4</v>
      </c>
      <c r="D253" s="18">
        <f>E252</f>
        <v>0.80725090909090913</v>
      </c>
      <c r="E253" s="18">
        <f>IFERROR(C253*D253,0)</f>
        <v>2259.0109440000001</v>
      </c>
      <c r="I253" s="80"/>
      <c r="J253" s="80"/>
    </row>
    <row r="254" spans="1:10" ht="13.5" thickBot="1">
      <c r="F254" s="21">
        <f>E253</f>
        <v>2259.0109440000001</v>
      </c>
      <c r="I254" s="80"/>
      <c r="J254" s="80"/>
    </row>
    <row r="255" spans="1:10" ht="11.25" customHeight="1">
      <c r="I255" s="80"/>
      <c r="J255" s="80"/>
    </row>
    <row r="256" spans="1:10" ht="11.25" customHeight="1" thickBot="1">
      <c r="G256" s="9"/>
    </row>
    <row r="257" spans="1:7" ht="13.5" thickBot="1">
      <c r="A257" s="24" t="s">
        <v>235</v>
      </c>
      <c r="B257" s="25"/>
      <c r="C257" s="25"/>
      <c r="D257" s="26"/>
      <c r="E257" s="27"/>
      <c r="F257" s="21">
        <f>+SUM(F186:F256)</f>
        <v>14634.42320494848</v>
      </c>
      <c r="G257" s="9"/>
    </row>
    <row r="258" spans="1:7" ht="11.25" customHeight="1">
      <c r="G258" s="9"/>
    </row>
    <row r="259" spans="1:7">
      <c r="A259" s="11" t="s">
        <v>78</v>
      </c>
      <c r="B259" s="11"/>
      <c r="C259" s="11"/>
      <c r="D259" s="34"/>
      <c r="E259" s="34"/>
      <c r="F259" s="33"/>
      <c r="G259" s="9"/>
    </row>
    <row r="260" spans="1:7" ht="11.25" customHeight="1" thickBot="1">
      <c r="G260" s="9"/>
    </row>
    <row r="261" spans="1:7" ht="13.5" thickBot="1">
      <c r="A261" s="57" t="s">
        <v>66</v>
      </c>
      <c r="B261" s="58" t="s">
        <v>67</v>
      </c>
      <c r="C261" s="58" t="s">
        <v>42</v>
      </c>
      <c r="D261" s="59" t="s">
        <v>247</v>
      </c>
      <c r="E261" s="59" t="s">
        <v>68</v>
      </c>
      <c r="F261" s="60" t="s">
        <v>69</v>
      </c>
      <c r="G261" s="9"/>
    </row>
    <row r="262" spans="1:7">
      <c r="A262" s="16" t="s">
        <v>75</v>
      </c>
      <c r="B262" s="17" t="s">
        <v>10</v>
      </c>
      <c r="C262" s="95">
        <v>2</v>
      </c>
      <c r="D262" s="82">
        <v>45</v>
      </c>
      <c r="E262" s="18">
        <f>C262*D262</f>
        <v>90</v>
      </c>
      <c r="F262" s="52"/>
      <c r="G262" s="9"/>
    </row>
    <row r="263" spans="1:7">
      <c r="A263" s="16" t="s">
        <v>28</v>
      </c>
      <c r="B263" s="17" t="s">
        <v>10</v>
      </c>
      <c r="C263" s="95">
        <v>2</v>
      </c>
      <c r="D263" s="82">
        <v>45</v>
      </c>
      <c r="E263" s="18">
        <f>C263*D263</f>
        <v>90</v>
      </c>
      <c r="F263" s="52"/>
      <c r="G263" s="9"/>
    </row>
    <row r="264" spans="1:7">
      <c r="A264" s="16" t="s">
        <v>29</v>
      </c>
      <c r="B264" s="17" t="s">
        <v>10</v>
      </c>
      <c r="C264" s="95">
        <v>2</v>
      </c>
      <c r="D264" s="82">
        <v>35</v>
      </c>
      <c r="E264" s="18">
        <f>C264*D264</f>
        <v>70</v>
      </c>
      <c r="F264" s="52"/>
      <c r="G264" s="9"/>
    </row>
    <row r="265" spans="1:7">
      <c r="A265" s="16" t="s">
        <v>59</v>
      </c>
      <c r="B265" s="17" t="s">
        <v>60</v>
      </c>
      <c r="C265" s="95">
        <v>2</v>
      </c>
      <c r="D265" s="82">
        <v>70</v>
      </c>
      <c r="E265" s="18">
        <f>C265*D265</f>
        <v>140</v>
      </c>
      <c r="F265" s="52"/>
      <c r="G265" s="9"/>
    </row>
    <row r="266" spans="1:7" ht="13.5" thickBot="1">
      <c r="A266" s="16" t="s">
        <v>62</v>
      </c>
      <c r="B266" s="17" t="s">
        <v>60</v>
      </c>
      <c r="C266" s="95">
        <v>2</v>
      </c>
      <c r="D266" s="82">
        <v>70</v>
      </c>
      <c r="E266" s="18">
        <f>C266*D266</f>
        <v>140</v>
      </c>
      <c r="F266" s="52"/>
      <c r="G266" s="9"/>
    </row>
    <row r="267" spans="1:7" ht="13.5" thickBot="1">
      <c r="A267" s="11"/>
      <c r="B267" s="11"/>
      <c r="C267" s="11"/>
      <c r="D267" s="11"/>
      <c r="E267" s="34"/>
      <c r="F267" s="21">
        <f>SUM(E262:E266)</f>
        <v>530</v>
      </c>
      <c r="G267" s="9"/>
    </row>
    <row r="268" spans="1:7" ht="11.25" customHeight="1" thickBot="1">
      <c r="G268" s="9"/>
    </row>
    <row r="269" spans="1:7" ht="13.5" thickBot="1">
      <c r="A269" s="24" t="s">
        <v>236</v>
      </c>
      <c r="B269" s="25"/>
      <c r="C269" s="25"/>
      <c r="D269" s="26"/>
      <c r="E269" s="27"/>
      <c r="F269" s="21">
        <f>+F267</f>
        <v>530</v>
      </c>
      <c r="G269" s="9"/>
    </row>
    <row r="270" spans="1:7" ht="11.25" customHeight="1">
      <c r="G270" s="9"/>
    </row>
    <row r="271" spans="1:7">
      <c r="A271" s="11" t="s">
        <v>79</v>
      </c>
      <c r="B271" s="11"/>
      <c r="C271" s="11"/>
      <c r="D271" s="34"/>
      <c r="E271" s="34"/>
      <c r="F271" s="33"/>
    </row>
    <row r="272" spans="1:7" ht="11.25" customHeight="1" thickBot="1"/>
    <row r="273" spans="1:7" ht="13.5" thickBot="1">
      <c r="A273" s="57" t="s">
        <v>66</v>
      </c>
      <c r="B273" s="58" t="s">
        <v>67</v>
      </c>
      <c r="C273" s="58" t="s">
        <v>42</v>
      </c>
      <c r="D273" s="59" t="s">
        <v>247</v>
      </c>
      <c r="E273" s="59" t="s">
        <v>68</v>
      </c>
      <c r="F273" s="60" t="s">
        <v>69</v>
      </c>
    </row>
    <row r="274" spans="1:7">
      <c r="A274" s="16" t="s">
        <v>233</v>
      </c>
      <c r="B274" s="51" t="s">
        <v>60</v>
      </c>
      <c r="C274" s="66">
        <v>2</v>
      </c>
      <c r="D274" s="84">
        <v>850</v>
      </c>
      <c r="E274" s="18">
        <f>+D274*C274</f>
        <v>1700</v>
      </c>
      <c r="F274" s="52"/>
    </row>
    <row r="275" spans="1:7">
      <c r="A275" s="16" t="s">
        <v>63</v>
      </c>
      <c r="B275" s="51" t="s">
        <v>8</v>
      </c>
      <c r="C275" s="17">
        <v>60</v>
      </c>
      <c r="D275" s="77">
        <f>SUM(E274:E274)</f>
        <v>1700</v>
      </c>
      <c r="E275" s="77">
        <f>+D275/C275</f>
        <v>28.333333333333332</v>
      </c>
      <c r="F275" s="52"/>
    </row>
    <row r="276" spans="1:7">
      <c r="A276" s="16" t="s">
        <v>234</v>
      </c>
      <c r="B276" s="17" t="s">
        <v>10</v>
      </c>
      <c r="C276" s="66">
        <f>+C274</f>
        <v>2</v>
      </c>
      <c r="D276" s="84">
        <v>100</v>
      </c>
      <c r="E276" s="18">
        <f>C276*D276</f>
        <v>200</v>
      </c>
      <c r="F276" s="52"/>
    </row>
    <row r="277" spans="1:7" ht="13.5" thickBot="1">
      <c r="A277" s="16" t="s">
        <v>39</v>
      </c>
      <c r="B277" s="51" t="s">
        <v>8</v>
      </c>
      <c r="C277" s="17">
        <v>1</v>
      </c>
      <c r="D277" s="77">
        <f>+E276</f>
        <v>200</v>
      </c>
      <c r="E277" s="77">
        <f>+D277/C277</f>
        <v>200</v>
      </c>
      <c r="F277" s="52"/>
    </row>
    <row r="278" spans="1:7" ht="13.5" thickBot="1">
      <c r="A278" s="12"/>
      <c r="B278" s="12"/>
      <c r="C278" s="12"/>
      <c r="D278" s="117" t="s">
        <v>206</v>
      </c>
      <c r="E278" s="49">
        <f>$B$52</f>
        <v>0.5</v>
      </c>
      <c r="F278" s="21">
        <f>(E275+E277)*E278</f>
        <v>114.16666666666667</v>
      </c>
    </row>
    <row r="279" spans="1:7" s="50" customFormat="1" ht="11.25" customHeight="1" thickBot="1">
      <c r="A279" s="9"/>
      <c r="B279" s="9"/>
      <c r="C279" s="9"/>
      <c r="D279" s="10"/>
      <c r="E279" s="10"/>
      <c r="F279" s="10"/>
      <c r="G279" s="79"/>
    </row>
    <row r="280" spans="1:7" ht="13.5" thickBot="1">
      <c r="A280" s="24" t="s">
        <v>232</v>
      </c>
      <c r="B280" s="25"/>
      <c r="C280" s="25"/>
      <c r="D280" s="26"/>
      <c r="E280" s="27"/>
      <c r="F280" s="21">
        <f>+F278</f>
        <v>114.16666666666667</v>
      </c>
    </row>
    <row r="281" spans="1:7">
      <c r="A281" s="11" t="s">
        <v>317</v>
      </c>
      <c r="B281" s="11" t="s">
        <v>275</v>
      </c>
      <c r="C281" s="11">
        <v>70</v>
      </c>
      <c r="D281" s="34">
        <v>145</v>
      </c>
      <c r="E281" s="34"/>
      <c r="F281" s="288">
        <f>C281*D281</f>
        <v>10150</v>
      </c>
    </row>
    <row r="282" spans="1:7" ht="11.25" customHeight="1" thickBot="1"/>
    <row r="283" spans="1:7" ht="17.25" customHeight="1" thickBot="1">
      <c r="A283" s="24" t="s">
        <v>237</v>
      </c>
      <c r="B283" s="28"/>
      <c r="C283" s="28"/>
      <c r="D283" s="29"/>
      <c r="E283" s="30"/>
      <c r="F283" s="22">
        <f>+F144+F178+F257+F269+F280+F281</f>
        <v>32828.053191570347</v>
      </c>
    </row>
    <row r="284" spans="1:7" ht="11.25" customHeight="1"/>
    <row r="285" spans="1:7">
      <c r="A285" s="11" t="s">
        <v>318</v>
      </c>
    </row>
    <row r="286" spans="1:7" ht="11.25" customHeight="1" thickBot="1"/>
    <row r="287" spans="1:7" ht="13.5" thickBot="1">
      <c r="A287" s="57" t="s">
        <v>66</v>
      </c>
      <c r="B287" s="58" t="s">
        <v>67</v>
      </c>
      <c r="C287" s="58" t="s">
        <v>42</v>
      </c>
      <c r="D287" s="59" t="s">
        <v>247</v>
      </c>
      <c r="E287" s="59" t="s">
        <v>68</v>
      </c>
      <c r="F287" s="60" t="s">
        <v>69</v>
      </c>
    </row>
    <row r="288" spans="1:7" ht="13.5" thickBot="1">
      <c r="A288" s="13" t="s">
        <v>38</v>
      </c>
      <c r="B288" s="14" t="s">
        <v>2</v>
      </c>
      <c r="C288" s="133">
        <v>21.5</v>
      </c>
      <c r="D288" s="15">
        <f>+F283</f>
        <v>32828.053191570347</v>
      </c>
      <c r="E288" s="15">
        <f>C288*D288/100</f>
        <v>7058.0314361876253</v>
      </c>
    </row>
    <row r="289" spans="1:7" ht="13.5" thickBot="1">
      <c r="F289" s="21">
        <f>+E288</f>
        <v>7058.0314361876253</v>
      </c>
    </row>
    <row r="290" spans="1:7" ht="11.25" customHeight="1" thickBot="1"/>
    <row r="291" spans="1:7" ht="13.5" thickBot="1">
      <c r="A291" s="24" t="s">
        <v>252</v>
      </c>
      <c r="B291" s="28"/>
      <c r="C291" s="28"/>
      <c r="D291" s="29"/>
      <c r="E291" s="30"/>
      <c r="F291" s="22">
        <f>F289</f>
        <v>7058.0314361876253</v>
      </c>
    </row>
    <row r="292" spans="1:7">
      <c r="A292" s="11"/>
      <c r="B292" s="11"/>
      <c r="C292" s="11"/>
      <c r="D292" s="34"/>
      <c r="E292" s="34"/>
      <c r="F292" s="33"/>
    </row>
    <row r="293" spans="1:7" ht="11.25" customHeight="1" thickBot="1"/>
    <row r="294" spans="1:7" ht="24.75" customHeight="1" thickBot="1">
      <c r="A294" s="24" t="s">
        <v>238</v>
      </c>
      <c r="B294" s="28"/>
      <c r="C294" s="28"/>
      <c r="D294" s="29"/>
      <c r="E294" s="30"/>
      <c r="F294" s="22">
        <f>F283+F291</f>
        <v>39886.084627757969</v>
      </c>
    </row>
    <row r="295" spans="1:7" ht="12.6" customHeight="1">
      <c r="A295" s="53"/>
      <c r="B295" s="53"/>
      <c r="C295" s="53"/>
      <c r="D295" s="54"/>
      <c r="E295" s="54"/>
      <c r="F295" s="54"/>
    </row>
    <row r="296" spans="1:7" ht="14.25">
      <c r="A296" s="8"/>
      <c r="B296" s="8"/>
      <c r="C296" s="8"/>
      <c r="D296" s="35"/>
      <c r="E296" s="35"/>
    </row>
    <row r="297" spans="1:7" ht="16.149999999999999" customHeight="1">
      <c r="A297" s="290" t="s">
        <v>320</v>
      </c>
      <c r="B297" s="232"/>
      <c r="C297" s="232"/>
      <c r="D297" s="233">
        <v>70</v>
      </c>
      <c r="E297" s="234" t="s">
        <v>27</v>
      </c>
      <c r="G297" s="10" t="s">
        <v>216</v>
      </c>
    </row>
    <row r="298" spans="1:7" ht="13.5" thickBot="1"/>
    <row r="299" spans="1:7" ht="25.5" customHeight="1" thickBot="1">
      <c r="A299" s="24" t="s">
        <v>73</v>
      </c>
      <c r="B299" s="25"/>
      <c r="C299" s="25"/>
      <c r="D299" s="26"/>
      <c r="E299" s="235" t="s">
        <v>34</v>
      </c>
      <c r="F299" s="236">
        <f>IFERROR(F294/D297,"-")</f>
        <v>569.80120896797098</v>
      </c>
      <c r="G299" s="10" t="s">
        <v>216</v>
      </c>
    </row>
    <row r="300" spans="1:7" ht="12.6" customHeight="1">
      <c r="A300" s="11"/>
      <c r="B300" s="11"/>
      <c r="C300" s="11"/>
      <c r="D300" s="34"/>
      <c r="E300" s="34"/>
      <c r="F300" s="34"/>
    </row>
    <row r="301" spans="1:7" s="4" customFormat="1" ht="9.75" customHeight="1">
      <c r="A301" s="38"/>
      <c r="B301" s="10"/>
      <c r="C301" s="10"/>
      <c r="D301" s="10"/>
      <c r="E301" s="10"/>
      <c r="F301" s="10"/>
      <c r="G301" s="6"/>
    </row>
    <row r="302" spans="1:7" s="4" customFormat="1" ht="9.75" customHeight="1">
      <c r="A302" s="38"/>
      <c r="B302" s="10"/>
      <c r="C302" s="10"/>
      <c r="D302" s="10"/>
      <c r="E302" s="10"/>
      <c r="F302" s="10"/>
      <c r="G302" s="6"/>
    </row>
    <row r="303" spans="1:7" s="4" customFormat="1" ht="9.75" customHeight="1">
      <c r="A303" s="38"/>
      <c r="B303" s="10"/>
      <c r="C303" s="10"/>
      <c r="D303" s="10"/>
      <c r="E303" s="10"/>
      <c r="F303" s="10"/>
      <c r="G303" s="6"/>
    </row>
    <row r="333" s="9" customFormat="1" ht="9" customHeight="1"/>
  </sheetData>
  <mergeCells count="7">
    <mergeCell ref="A48:D48"/>
    <mergeCell ref="A24:C24"/>
    <mergeCell ref="A11:F11"/>
    <mergeCell ref="A12:F12"/>
    <mergeCell ref="A41:D41"/>
    <mergeCell ref="A14:F14"/>
    <mergeCell ref="A40:E40"/>
  </mergeCells>
  <phoneticPr fontId="9" type="noConversion"/>
  <hyperlinks>
    <hyperlink ref="A200" location="AbaRemun" display="3.1.2. Remuneração do Capital"/>
    <hyperlink ref="A184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4" manualBreakCount="4">
    <brk id="53" max="5" man="1"/>
    <brk id="123" max="5" man="1"/>
    <brk id="179" max="5" man="1"/>
    <brk id="246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topLeftCell="A10" workbookViewId="0">
      <selection activeCell="D31" sqref="D31"/>
    </sheetView>
  </sheetViews>
  <sheetFormatPr defaultRowHeight="12.75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" customWidth="1"/>
    <col min="5" max="10" width="9.140625" style="1"/>
    <col min="11" max="11" width="11" style="1" bestFit="1" customWidth="1"/>
    <col min="12" max="16384" width="9.140625" style="1"/>
  </cols>
  <sheetData>
    <row r="1" spans="1:7">
      <c r="A1" s="11" t="s">
        <v>214</v>
      </c>
    </row>
    <row r="2" spans="1:7">
      <c r="A2" s="132" t="s">
        <v>258</v>
      </c>
    </row>
    <row r="3" spans="1:7" s="4" customFormat="1" ht="15.6" customHeight="1">
      <c r="B3" s="5"/>
      <c r="C3" s="5"/>
      <c r="D3" s="5"/>
      <c r="E3" s="5"/>
      <c r="F3" s="5"/>
      <c r="G3" s="6"/>
    </row>
    <row r="4" spans="1:7" s="4" customFormat="1" ht="15.6" customHeight="1">
      <c r="A4" s="280" t="s">
        <v>307</v>
      </c>
      <c r="B4" s="5"/>
      <c r="C4" s="5"/>
      <c r="D4" s="5"/>
      <c r="E4" s="5"/>
      <c r="F4" s="5"/>
      <c r="G4" s="6"/>
    </row>
    <row r="5" spans="1:7" s="4" customFormat="1" ht="16.5" customHeight="1">
      <c r="A5" s="280" t="s">
        <v>304</v>
      </c>
      <c r="B5" s="5"/>
      <c r="C5" s="5"/>
      <c r="D5" s="6"/>
      <c r="E5" s="6"/>
      <c r="F5" s="6"/>
      <c r="G5" s="6"/>
    </row>
    <row r="6" spans="1:7" ht="13.5" thickBot="1"/>
    <row r="7" spans="1:7" ht="18">
      <c r="A7" s="307" t="s">
        <v>241</v>
      </c>
      <c r="B7" s="308"/>
      <c r="C7" s="309"/>
      <c r="D7" s="140"/>
      <c r="E7" s="140"/>
      <c r="F7" s="140"/>
    </row>
    <row r="8" spans="1:7" ht="14.25">
      <c r="A8" s="156" t="s">
        <v>152</v>
      </c>
      <c r="B8" s="157" t="s">
        <v>153</v>
      </c>
      <c r="C8" s="158" t="s">
        <v>154</v>
      </c>
      <c r="D8" s="159"/>
    </row>
    <row r="9" spans="1:7" ht="14.25">
      <c r="A9" s="156" t="s">
        <v>155</v>
      </c>
      <c r="B9" s="157" t="s">
        <v>43</v>
      </c>
      <c r="C9" s="160">
        <v>0.2</v>
      </c>
      <c r="D9" s="159"/>
    </row>
    <row r="10" spans="1:7" ht="14.25">
      <c r="A10" s="156" t="s">
        <v>156</v>
      </c>
      <c r="B10" s="157" t="s">
        <v>157</v>
      </c>
      <c r="C10" s="160">
        <v>1.4999999999999999E-2</v>
      </c>
      <c r="D10" s="159"/>
    </row>
    <row r="11" spans="1:7" ht="14.25">
      <c r="A11" s="156" t="s">
        <v>158</v>
      </c>
      <c r="B11" s="157" t="s">
        <v>159</v>
      </c>
      <c r="C11" s="160">
        <v>0.01</v>
      </c>
      <c r="D11" s="159"/>
    </row>
    <row r="12" spans="1:7" ht="14.25">
      <c r="A12" s="156" t="s">
        <v>160</v>
      </c>
      <c r="B12" s="157" t="s">
        <v>161</v>
      </c>
      <c r="C12" s="160">
        <v>2E-3</v>
      </c>
      <c r="D12" s="159"/>
    </row>
    <row r="13" spans="1:7" ht="14.25">
      <c r="A13" s="156" t="s">
        <v>162</v>
      </c>
      <c r="B13" s="157" t="s">
        <v>163</v>
      </c>
      <c r="C13" s="160">
        <v>6.0000000000000001E-3</v>
      </c>
      <c r="D13" s="159"/>
    </row>
    <row r="14" spans="1:7" ht="14.25">
      <c r="A14" s="156" t="s">
        <v>164</v>
      </c>
      <c r="B14" s="157" t="s">
        <v>165</v>
      </c>
      <c r="C14" s="160">
        <v>2.5000000000000001E-2</v>
      </c>
      <c r="D14" s="159"/>
    </row>
    <row r="15" spans="1:7" ht="14.25">
      <c r="A15" s="156" t="s">
        <v>166</v>
      </c>
      <c r="B15" s="157" t="s">
        <v>167</v>
      </c>
      <c r="C15" s="160">
        <v>0.03</v>
      </c>
      <c r="D15" s="159"/>
    </row>
    <row r="16" spans="1:7" ht="14.25">
      <c r="A16" s="156" t="s">
        <v>168</v>
      </c>
      <c r="B16" s="157" t="s">
        <v>44</v>
      </c>
      <c r="C16" s="160">
        <v>0.08</v>
      </c>
      <c r="D16" s="159"/>
    </row>
    <row r="17" spans="1:8" ht="15">
      <c r="A17" s="156" t="s">
        <v>169</v>
      </c>
      <c r="B17" s="161" t="s">
        <v>170</v>
      </c>
      <c r="C17" s="162">
        <f>SUM(C9:C16)</f>
        <v>0.36800000000000005</v>
      </c>
      <c r="D17" s="159"/>
    </row>
    <row r="18" spans="1:8" ht="15">
      <c r="A18" s="163"/>
      <c r="B18" s="164"/>
      <c r="C18" s="165"/>
      <c r="D18" s="159"/>
    </row>
    <row r="19" spans="1:8" ht="14.25">
      <c r="A19" s="156" t="s">
        <v>171</v>
      </c>
      <c r="B19" s="166" t="s">
        <v>172</v>
      </c>
      <c r="C19" s="160">
        <f>ROUND(IF('3.CAGED'!C28&gt;24,(1-12/'3.CAGED'!C28)*0.1111,0.1111-C28),4)</f>
        <v>6.1899999999999997E-2</v>
      </c>
      <c r="D19" s="159"/>
    </row>
    <row r="20" spans="1:8" ht="14.25">
      <c r="A20" s="156" t="s">
        <v>173</v>
      </c>
      <c r="B20" s="166" t="s">
        <v>174</v>
      </c>
      <c r="C20" s="160">
        <f>ROUND('3.CAGED'!C32/'3.CAGED'!C29,4)</f>
        <v>8.3299999999999999E-2</v>
      </c>
      <c r="D20" s="159"/>
    </row>
    <row r="21" spans="1:8" ht="14.25">
      <c r="A21" s="156" t="s">
        <v>230</v>
      </c>
      <c r="B21" s="166" t="s">
        <v>176</v>
      </c>
      <c r="C21" s="160">
        <v>5.9999999999999995E-4</v>
      </c>
      <c r="D21" s="159"/>
    </row>
    <row r="22" spans="1:8" ht="14.25">
      <c r="A22" s="156" t="s">
        <v>175</v>
      </c>
      <c r="B22" s="166" t="s">
        <v>178</v>
      </c>
      <c r="C22" s="160">
        <v>8.2000000000000007E-3</v>
      </c>
      <c r="D22" s="159"/>
    </row>
    <row r="23" spans="1:8" ht="14.25">
      <c r="A23" s="156" t="s">
        <v>177</v>
      </c>
      <c r="B23" s="166" t="s">
        <v>180</v>
      </c>
      <c r="C23" s="160">
        <v>3.0999999999999999E-3</v>
      </c>
      <c r="D23" s="159"/>
    </row>
    <row r="24" spans="1:8" ht="14.25">
      <c r="A24" s="156" t="s">
        <v>179</v>
      </c>
      <c r="B24" s="166" t="s">
        <v>181</v>
      </c>
      <c r="C24" s="160">
        <v>1.66E-2</v>
      </c>
      <c r="D24" s="159"/>
    </row>
    <row r="25" spans="1:8" ht="15">
      <c r="A25" s="156" t="s">
        <v>182</v>
      </c>
      <c r="B25" s="161" t="s">
        <v>183</v>
      </c>
      <c r="C25" s="162">
        <f>SUM(C19:C24)</f>
        <v>0.17369999999999999</v>
      </c>
      <c r="D25" s="167"/>
    </row>
    <row r="26" spans="1:8" ht="15">
      <c r="A26" s="163"/>
      <c r="B26" s="164"/>
      <c r="C26" s="165"/>
      <c r="D26" s="167"/>
    </row>
    <row r="27" spans="1:8" ht="14.25">
      <c r="A27" s="156" t="s">
        <v>184</v>
      </c>
      <c r="B27" s="157" t="s">
        <v>185</v>
      </c>
      <c r="C27" s="160">
        <f>ROUND(('3.CAGED'!C33) *'3.CAGED'!C26/'3.CAGED'!C29,4)</f>
        <v>2.5600000000000001E-2</v>
      </c>
      <c r="D27" s="159"/>
      <c r="E27" s="168"/>
    </row>
    <row r="28" spans="1:8" ht="14.25">
      <c r="A28" s="156" t="s">
        <v>229</v>
      </c>
      <c r="B28" s="157" t="s">
        <v>187</v>
      </c>
      <c r="C28" s="160">
        <f>ROUND(IF('3.CAGED'!C28&gt;12,12/'3.CAGED'!C28*0.1111,0.1111),4)</f>
        <v>4.9200000000000001E-2</v>
      </c>
      <c r="D28" s="159"/>
      <c r="H28" s="169"/>
    </row>
    <row r="29" spans="1:8" ht="14.25">
      <c r="A29" s="156" t="s">
        <v>186</v>
      </c>
      <c r="B29" s="157" t="s">
        <v>189</v>
      </c>
      <c r="C29" s="160">
        <f>C27*C28</f>
        <v>1.2595200000000001E-3</v>
      </c>
      <c r="D29" s="159"/>
      <c r="E29" s="168"/>
    </row>
    <row r="30" spans="1:8" ht="14.25">
      <c r="A30" s="156" t="s">
        <v>188</v>
      </c>
      <c r="B30" s="157" t="s">
        <v>191</v>
      </c>
      <c r="C30" s="160">
        <f>ROUND(('3.CAGED'!C29+'3.CAGED'!C30+'3.CAGED'!C32)/'3.CAGED'!C27*'3.CAGED'!C34*'3.CAGED'!C35*'3.CAGED'!C26/'3.CAGED'!C29,4)</f>
        <v>2.0500000000000001E-2</v>
      </c>
      <c r="D30" s="159"/>
      <c r="G30" s="168"/>
    </row>
    <row r="31" spans="1:8" ht="14.25">
      <c r="A31" s="156" t="s">
        <v>190</v>
      </c>
      <c r="B31" s="157" t="s">
        <v>192</v>
      </c>
      <c r="C31" s="160">
        <f>ROUND(('3.CAGED'!C31/'3.CAGED'!C29)*'3.CAGED'!C26/12,4)</f>
        <v>1.8E-3</v>
      </c>
      <c r="D31" s="159"/>
    </row>
    <row r="32" spans="1:8" ht="15">
      <c r="A32" s="156" t="s">
        <v>193</v>
      </c>
      <c r="B32" s="161" t="s">
        <v>194</v>
      </c>
      <c r="C32" s="162">
        <f>SUM(C27:C31)</f>
        <v>9.8359520000000006E-2</v>
      </c>
      <c r="D32" s="167"/>
    </row>
    <row r="33" spans="1:4" ht="15">
      <c r="A33" s="163"/>
      <c r="B33" s="164"/>
      <c r="C33" s="165"/>
      <c r="D33" s="167"/>
    </row>
    <row r="34" spans="1:4" ht="14.25">
      <c r="A34" s="156" t="s">
        <v>195</v>
      </c>
      <c r="B34" s="157" t="s">
        <v>196</v>
      </c>
      <c r="C34" s="160">
        <f>ROUND(C17*C25,4)</f>
        <v>6.3899999999999998E-2</v>
      </c>
      <c r="D34" s="159"/>
    </row>
    <row r="35" spans="1:4" ht="28.5">
      <c r="A35" s="156" t="s">
        <v>197</v>
      </c>
      <c r="B35" s="170" t="s">
        <v>303</v>
      </c>
      <c r="C35" s="160">
        <f>ROUND((C27*C16),4)</f>
        <v>2E-3</v>
      </c>
      <c r="D35" s="159"/>
    </row>
    <row r="36" spans="1:4" ht="15">
      <c r="A36" s="156" t="s">
        <v>198</v>
      </c>
      <c r="B36" s="161" t="s">
        <v>199</v>
      </c>
      <c r="C36" s="162">
        <f>SUM(C34:C35)</f>
        <v>6.59E-2</v>
      </c>
      <c r="D36" s="167"/>
    </row>
    <row r="37" spans="1:4" ht="15.75" thickBot="1">
      <c r="A37" s="171"/>
      <c r="B37" s="172" t="s">
        <v>200</v>
      </c>
      <c r="C37" s="173">
        <f>C36+C32+C25+C17</f>
        <v>0.70595951999999995</v>
      </c>
      <c r="D37" s="167"/>
    </row>
    <row r="38" spans="1:4" ht="15">
      <c r="A38" s="159"/>
      <c r="B38" s="174"/>
      <c r="C38" s="175"/>
      <c r="D38" s="176"/>
    </row>
    <row r="39" spans="1:4" ht="14.25">
      <c r="A39" s="159"/>
      <c r="B39" s="159"/>
      <c r="C39" s="177"/>
      <c r="D39" s="178"/>
    </row>
    <row r="40" spans="1:4" ht="14.25">
      <c r="A40" s="159"/>
      <c r="B40" s="159"/>
      <c r="C40" s="177"/>
      <c r="D40" s="159"/>
    </row>
    <row r="41" spans="1:4" ht="14.25">
      <c r="A41" s="159"/>
      <c r="B41" s="159"/>
      <c r="C41" s="177"/>
      <c r="D41" s="159"/>
    </row>
    <row r="42" spans="1:4" ht="14.25">
      <c r="A42" s="159"/>
      <c r="B42" s="159"/>
      <c r="C42" s="177"/>
      <c r="D42" s="159"/>
    </row>
    <row r="43" spans="1:4" ht="15">
      <c r="A43" s="159"/>
      <c r="B43" s="174"/>
      <c r="C43" s="175"/>
      <c r="D43" s="159"/>
    </row>
    <row r="44" spans="1:4" ht="15">
      <c r="A44" s="167"/>
      <c r="B44" s="174"/>
      <c r="C44" s="175"/>
      <c r="D44" s="167"/>
    </row>
    <row r="45" spans="1:4" ht="16.5">
      <c r="A45" s="179"/>
    </row>
    <row r="46" spans="1:4">
      <c r="A46" s="180"/>
      <c r="B46" s="181"/>
      <c r="C46" s="181"/>
    </row>
    <row r="47" spans="1:4" ht="14.25">
      <c r="A47" s="159"/>
      <c r="B47" s="182"/>
      <c r="C47" s="181"/>
    </row>
    <row r="48" spans="1:4" ht="14.25">
      <c r="A48" s="159"/>
      <c r="B48" s="182"/>
      <c r="C48" s="159"/>
    </row>
    <row r="49" spans="1:3" ht="14.25">
      <c r="A49" s="159"/>
      <c r="B49" s="177"/>
      <c r="C49" s="181"/>
    </row>
    <row r="50" spans="1:3" ht="14.25">
      <c r="A50" s="159"/>
      <c r="B50" s="182"/>
      <c r="C50" s="159"/>
    </row>
    <row r="51" spans="1:3" ht="14.25">
      <c r="A51" s="159"/>
      <c r="B51" s="177"/>
      <c r="C51" s="181"/>
    </row>
    <row r="52" spans="1:3" ht="14.25">
      <c r="A52" s="159"/>
      <c r="B52" s="182"/>
      <c r="C52" s="159"/>
    </row>
    <row r="53" spans="1:3" ht="14.25">
      <c r="A53" s="159"/>
      <c r="B53" s="177"/>
      <c r="C53" s="181"/>
    </row>
    <row r="54" spans="1:3" ht="14.25">
      <c r="A54" s="159"/>
      <c r="B54" s="182"/>
      <c r="C54" s="159"/>
    </row>
    <row r="55" spans="1:3" ht="14.25">
      <c r="A55" s="159"/>
      <c r="B55" s="177"/>
      <c r="C55" s="181"/>
    </row>
    <row r="56" spans="1:3" ht="16.5">
      <c r="A56" s="179"/>
    </row>
    <row r="59" spans="1:3">
      <c r="A59" s="183"/>
    </row>
  </sheetData>
  <mergeCells count="1">
    <mergeCell ref="A7:C7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topLeftCell="A16" workbookViewId="0">
      <selection activeCell="E19" sqref="E19"/>
    </sheetView>
  </sheetViews>
  <sheetFormatPr defaultRowHeight="12.75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>
      <c r="A1" s="102" t="s">
        <v>253</v>
      </c>
    </row>
    <row r="3" spans="1:3">
      <c r="A3" s="281" t="s">
        <v>315</v>
      </c>
    </row>
    <row r="5" spans="1:3">
      <c r="A5" s="281" t="s">
        <v>314</v>
      </c>
    </row>
    <row r="6" spans="1:3" ht="13.5" thickBot="1"/>
    <row r="7" spans="1:3" ht="18">
      <c r="B7" s="310" t="s">
        <v>239</v>
      </c>
      <c r="C7" s="311"/>
    </row>
    <row r="8" spans="1:3" ht="15">
      <c r="B8" s="145" t="s">
        <v>217</v>
      </c>
      <c r="C8" s="184"/>
    </row>
    <row r="9" spans="1:3" ht="15">
      <c r="B9" s="146" t="s">
        <v>136</v>
      </c>
      <c r="C9" s="147">
        <v>2100</v>
      </c>
    </row>
    <row r="10" spans="1:3" ht="15">
      <c r="B10" s="148" t="s">
        <v>137</v>
      </c>
      <c r="C10" s="147">
        <v>2031</v>
      </c>
    </row>
    <row r="11" spans="1:3" ht="14.25">
      <c r="B11" s="185" t="s">
        <v>138</v>
      </c>
      <c r="C11" s="186">
        <v>44</v>
      </c>
    </row>
    <row r="12" spans="1:3" ht="14.25">
      <c r="B12" s="185" t="s">
        <v>139</v>
      </c>
      <c r="C12" s="186">
        <v>1192</v>
      </c>
    </row>
    <row r="13" spans="1:3" ht="14.25">
      <c r="B13" s="185" t="s">
        <v>140</v>
      </c>
      <c r="C13" s="186">
        <v>372</v>
      </c>
    </row>
    <row r="14" spans="1:3" ht="14.25">
      <c r="B14" s="185" t="s">
        <v>141</v>
      </c>
      <c r="C14" s="186">
        <v>22</v>
      </c>
    </row>
    <row r="15" spans="1:3" ht="14.25">
      <c r="B15" s="185" t="s">
        <v>142</v>
      </c>
      <c r="C15" s="186">
        <v>350</v>
      </c>
    </row>
    <row r="16" spans="1:3" ht="14.25">
      <c r="B16" s="185" t="s">
        <v>143</v>
      </c>
      <c r="C16" s="186">
        <v>1</v>
      </c>
    </row>
    <row r="17" spans="1:5" ht="14.25">
      <c r="B17" s="185" t="s">
        <v>144</v>
      </c>
      <c r="C17" s="186">
        <v>30</v>
      </c>
    </row>
    <row r="18" spans="1:5" ht="14.25">
      <c r="B18" s="187" t="s">
        <v>145</v>
      </c>
      <c r="C18" s="188">
        <v>0</v>
      </c>
    </row>
    <row r="19" spans="1:5" ht="14.25">
      <c r="B19" s="287" t="s">
        <v>310</v>
      </c>
      <c r="C19" s="188">
        <v>0</v>
      </c>
    </row>
    <row r="20" spans="1:5" ht="15">
      <c r="A20" s="1" t="s">
        <v>146</v>
      </c>
      <c r="B20" s="145" t="s">
        <v>147</v>
      </c>
      <c r="C20" s="184"/>
    </row>
    <row r="21" spans="1:5" ht="14.25">
      <c r="B21" s="189" t="s">
        <v>312</v>
      </c>
      <c r="C21" s="190">
        <v>4625</v>
      </c>
    </row>
    <row r="22" spans="1:5" ht="14.25">
      <c r="B22" s="185" t="s">
        <v>313</v>
      </c>
      <c r="C22" s="186">
        <v>4694</v>
      </c>
    </row>
    <row r="23" spans="1:5" ht="14.25">
      <c r="B23" s="185" t="s">
        <v>311</v>
      </c>
      <c r="C23" s="208">
        <f>C9-C10</f>
        <v>69</v>
      </c>
    </row>
    <row r="24" spans="1:5" ht="14.25">
      <c r="B24" s="191"/>
      <c r="C24" s="192"/>
    </row>
    <row r="25" spans="1:5" s="102" customFormat="1" ht="15">
      <c r="B25" s="146" t="s">
        <v>149</v>
      </c>
      <c r="C25" s="193">
        <f>MEDIAN(C21,C22)</f>
        <v>4659.5</v>
      </c>
    </row>
    <row r="26" spans="1:5" ht="15">
      <c r="B26" s="148" t="s">
        <v>308</v>
      </c>
      <c r="C26" s="285">
        <f>C12/C25</f>
        <v>0.25582144006867691</v>
      </c>
    </row>
    <row r="27" spans="1:5" ht="15">
      <c r="B27" s="148" t="s">
        <v>309</v>
      </c>
      <c r="C27" s="285">
        <f>MEDIAN(C9,C10)/C25</f>
        <v>0.44328790642772831</v>
      </c>
      <c r="E27" s="256"/>
    </row>
    <row r="28" spans="1:5" s="102" customFormat="1" ht="15">
      <c r="B28" s="148" t="s">
        <v>259</v>
      </c>
      <c r="C28" s="283">
        <f>12/C27</f>
        <v>27.070442992011618</v>
      </c>
    </row>
    <row r="29" spans="1:5" ht="15">
      <c r="B29" s="148" t="s">
        <v>148</v>
      </c>
      <c r="C29" s="150">
        <v>360</v>
      </c>
    </row>
    <row r="30" spans="1:5" ht="15">
      <c r="B30" s="148" t="s">
        <v>254</v>
      </c>
      <c r="C30" s="150">
        <v>10</v>
      </c>
    </row>
    <row r="31" spans="1:5" ht="15">
      <c r="B31" s="146" t="s">
        <v>255</v>
      </c>
      <c r="C31" s="149">
        <v>30</v>
      </c>
    </row>
    <row r="32" spans="1:5" ht="15">
      <c r="B32" s="146" t="s">
        <v>256</v>
      </c>
      <c r="C32" s="149">
        <v>30</v>
      </c>
    </row>
    <row r="33" spans="2:4" s="102" customFormat="1" ht="15">
      <c r="B33" s="146" t="s">
        <v>151</v>
      </c>
      <c r="C33" s="149">
        <f>30+(3*TRUNC(1/C27))</f>
        <v>36</v>
      </c>
    </row>
    <row r="34" spans="2:4" s="102" customFormat="1" ht="15">
      <c r="B34" s="148" t="s">
        <v>44</v>
      </c>
      <c r="C34" s="284">
        <v>0.08</v>
      </c>
    </row>
    <row r="35" spans="2:4" s="102" customFormat="1" ht="15.75" thickBot="1">
      <c r="B35" s="151" t="s">
        <v>150</v>
      </c>
      <c r="C35" s="286">
        <v>0.4</v>
      </c>
      <c r="D35" s="102" t="s">
        <v>316</v>
      </c>
    </row>
  </sheetData>
  <mergeCells count="1">
    <mergeCell ref="B7:C7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C12" sqref="C12"/>
    </sheetView>
  </sheetViews>
  <sheetFormatPr defaultRowHeight="12.75"/>
  <cols>
    <col min="1" max="1" width="41.85546875" bestFit="1" customWidth="1"/>
    <col min="2" max="2" width="5.5703125" bestFit="1" customWidth="1"/>
    <col min="4" max="4" width="9.7109375" bestFit="1" customWidth="1"/>
    <col min="5" max="5" width="8" style="116" bestFit="1" customWidth="1"/>
    <col min="6" max="6" width="9.7109375" bestFit="1" customWidth="1"/>
  </cols>
  <sheetData>
    <row r="1" spans="1:8" s="137" customFormat="1" ht="14.25">
      <c r="A1" s="11" t="s">
        <v>214</v>
      </c>
      <c r="B1" s="8"/>
      <c r="C1" s="8"/>
      <c r="E1" s="138"/>
    </row>
    <row r="2" spans="1:8" s="137" customFormat="1" ht="14.25">
      <c r="A2" s="132" t="s">
        <v>260</v>
      </c>
      <c r="B2" s="8"/>
      <c r="C2" s="8"/>
      <c r="E2" s="138"/>
    </row>
    <row r="3" spans="1:8" s="137" customFormat="1" ht="14.25">
      <c r="A3" s="9" t="s">
        <v>215</v>
      </c>
      <c r="B3" s="8"/>
      <c r="C3" s="8"/>
      <c r="E3" s="138"/>
    </row>
    <row r="4" spans="1:8" s="137" customFormat="1" ht="14.25">
      <c r="A4" s="9"/>
      <c r="B4" s="8"/>
      <c r="C4" s="8"/>
      <c r="E4" s="138"/>
    </row>
    <row r="5" spans="1:8" s="4" customFormat="1" ht="15.6" customHeight="1">
      <c r="A5" s="280" t="s">
        <v>307</v>
      </c>
      <c r="B5" s="5"/>
      <c r="C5" s="5"/>
      <c r="D5" s="5"/>
      <c r="E5" s="5"/>
      <c r="F5" s="5"/>
      <c r="G5" s="6"/>
    </row>
    <row r="6" spans="1:8" s="4" customFormat="1" ht="16.5" customHeight="1">
      <c r="A6" s="280" t="s">
        <v>304</v>
      </c>
      <c r="B6" s="5"/>
      <c r="C6" s="5"/>
      <c r="D6" s="6"/>
      <c r="E6" s="6"/>
      <c r="F6" s="6"/>
      <c r="G6" s="6"/>
    </row>
    <row r="7" spans="1:8" s="137" customFormat="1" ht="15" thickBot="1">
      <c r="B7" s="8"/>
      <c r="C7" s="8"/>
      <c r="E7" s="138"/>
    </row>
    <row r="8" spans="1:8" ht="15.75">
      <c r="A8" s="317" t="s">
        <v>240</v>
      </c>
      <c r="B8" s="318"/>
      <c r="C8" s="318"/>
      <c r="D8" s="318"/>
      <c r="E8" s="318"/>
      <c r="F8" s="319"/>
    </row>
    <row r="9" spans="1:8" ht="16.5" thickBot="1">
      <c r="A9" s="243"/>
      <c r="B9" s="244"/>
      <c r="C9" s="244"/>
      <c r="D9" s="244"/>
      <c r="E9" s="244"/>
      <c r="F9" s="245"/>
    </row>
    <row r="10" spans="1:8" ht="15">
      <c r="A10" s="194"/>
      <c r="B10" s="8"/>
      <c r="C10" s="8"/>
      <c r="D10" s="314" t="s">
        <v>257</v>
      </c>
      <c r="E10" s="315"/>
      <c r="F10" s="316"/>
      <c r="G10" s="137"/>
      <c r="H10" s="137"/>
    </row>
    <row r="11" spans="1:8" ht="15" thickBot="1">
      <c r="A11" s="191"/>
      <c r="B11" s="137"/>
      <c r="C11" s="137"/>
      <c r="D11" s="195" t="s">
        <v>201</v>
      </c>
      <c r="E11" s="196" t="s">
        <v>202</v>
      </c>
      <c r="F11" s="197" t="s">
        <v>203</v>
      </c>
      <c r="G11" s="137"/>
      <c r="H11" s="137"/>
    </row>
    <row r="12" spans="1:8" ht="14.25">
      <c r="A12" s="198" t="s">
        <v>80</v>
      </c>
      <c r="B12" s="199" t="s">
        <v>81</v>
      </c>
      <c r="C12" s="200"/>
      <c r="D12" s="221">
        <v>2.9700000000000001E-2</v>
      </c>
      <c r="E12" s="222">
        <v>5.0799999999999998E-2</v>
      </c>
      <c r="F12" s="223">
        <v>6.2700000000000006E-2</v>
      </c>
      <c r="G12" s="137"/>
      <c r="H12" s="137"/>
    </row>
    <row r="13" spans="1:8" ht="14.25">
      <c r="A13" s="202" t="s">
        <v>82</v>
      </c>
      <c r="B13" s="203" t="s">
        <v>83</v>
      </c>
      <c r="C13" s="204"/>
      <c r="D13" s="221">
        <f>0.3%+0.56%</f>
        <v>8.6E-3</v>
      </c>
      <c r="E13" s="222">
        <f>0.48%+0.85%</f>
        <v>1.3299999999999999E-2</v>
      </c>
      <c r="F13" s="223">
        <f>0.82%+0.89%</f>
        <v>1.7099999999999997E-2</v>
      </c>
      <c r="G13" s="137"/>
      <c r="H13" s="137"/>
    </row>
    <row r="14" spans="1:8" ht="14.25">
      <c r="A14" s="202" t="s">
        <v>84</v>
      </c>
      <c r="B14" s="203" t="s">
        <v>85</v>
      </c>
      <c r="C14" s="204"/>
      <c r="D14" s="221">
        <v>7.7799999999999994E-2</v>
      </c>
      <c r="E14" s="222">
        <v>0.1085</v>
      </c>
      <c r="F14" s="223">
        <v>0.13550000000000001</v>
      </c>
      <c r="G14" s="137"/>
      <c r="H14" s="137"/>
    </row>
    <row r="15" spans="1:8" ht="14.25">
      <c r="A15" s="202" t="s">
        <v>86</v>
      </c>
      <c r="B15" s="203" t="s">
        <v>87</v>
      </c>
      <c r="C15" s="205">
        <f>(1+E15)^(E16/252)-1</f>
        <v>0</v>
      </c>
      <c r="D15" s="221" t="s">
        <v>295</v>
      </c>
      <c r="E15" s="206">
        <v>0.1225</v>
      </c>
      <c r="F15" s="201"/>
      <c r="G15" s="137"/>
      <c r="H15" s="137"/>
    </row>
    <row r="16" spans="1:8" ht="14.25">
      <c r="A16" s="202" t="s">
        <v>88</v>
      </c>
      <c r="B16" s="312" t="s">
        <v>89</v>
      </c>
      <c r="C16" s="204"/>
      <c r="D16" s="277" t="s">
        <v>204</v>
      </c>
      <c r="E16" s="207"/>
      <c r="F16" s="208"/>
      <c r="G16" s="137"/>
      <c r="H16" s="137"/>
    </row>
    <row r="17" spans="1:8" ht="15" thickBot="1">
      <c r="A17" s="209" t="s">
        <v>90</v>
      </c>
      <c r="B17" s="313"/>
      <c r="C17" s="210"/>
      <c r="D17" s="185"/>
      <c r="E17" s="211"/>
      <c r="F17" s="208"/>
      <c r="G17" s="137"/>
      <c r="H17" s="137"/>
    </row>
    <row r="18" spans="1:8" ht="14.25">
      <c r="A18" s="212" t="s">
        <v>91</v>
      </c>
      <c r="B18" s="213"/>
      <c r="C18" s="214"/>
      <c r="D18" s="185"/>
      <c r="E18" s="211"/>
      <c r="F18" s="208"/>
      <c r="G18" s="137"/>
      <c r="H18" s="137"/>
    </row>
    <row r="19" spans="1:8" ht="15" thickBot="1">
      <c r="A19" s="215" t="s">
        <v>92</v>
      </c>
      <c r="B19" s="216"/>
      <c r="C19" s="217"/>
      <c r="D19" s="185"/>
      <c r="E19" s="211"/>
      <c r="F19" s="208"/>
      <c r="G19" s="137"/>
      <c r="H19" s="137"/>
    </row>
    <row r="20" spans="1:8" ht="15.75" thickBot="1">
      <c r="A20" s="218" t="s">
        <v>93</v>
      </c>
      <c r="B20" s="219"/>
      <c r="C20" s="220">
        <f>ROUND((((1+C12+C13)*(1+C14)*(1+C15))/(1-(C16+C17))-1),4)</f>
        <v>0</v>
      </c>
      <c r="D20" s="224">
        <v>0.21429999999999999</v>
      </c>
      <c r="E20" s="225">
        <v>0.2717</v>
      </c>
      <c r="F20" s="226">
        <v>0.3362</v>
      </c>
      <c r="G20" s="137"/>
      <c r="H20" s="137"/>
    </row>
    <row r="21" spans="1:8" ht="14.25">
      <c r="A21" s="137"/>
      <c r="B21" s="137"/>
      <c r="C21" s="137"/>
      <c r="D21" s="137"/>
      <c r="E21" s="138"/>
      <c r="F21" s="137"/>
      <c r="G21" s="137"/>
      <c r="H21" s="137"/>
    </row>
    <row r="22" spans="1:8" ht="14.25">
      <c r="A22" s="137"/>
      <c r="B22" s="137"/>
      <c r="C22" s="137"/>
      <c r="D22" s="137"/>
      <c r="E22" s="138"/>
      <c r="F22" s="137"/>
      <c r="G22" s="137"/>
      <c r="H22" s="137"/>
    </row>
    <row r="23" spans="1:8" ht="14.25">
      <c r="A23" s="137"/>
      <c r="B23" s="137"/>
      <c r="C23" s="137"/>
      <c r="D23" s="137"/>
      <c r="E23" s="138"/>
      <c r="F23" s="137"/>
      <c r="G23" s="137"/>
      <c r="H23" s="137"/>
    </row>
    <row r="24" spans="1:8" ht="14.25">
      <c r="A24" s="137"/>
      <c r="B24" s="137"/>
      <c r="C24" s="137"/>
      <c r="D24" s="137"/>
      <c r="E24" s="138"/>
      <c r="F24" s="137"/>
      <c r="G24" s="137"/>
      <c r="H24" s="137"/>
    </row>
  </sheetData>
  <mergeCells count="3">
    <mergeCell ref="B16:B17"/>
    <mergeCell ref="D10:F10"/>
    <mergeCell ref="A8:F8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3" sqref="B3"/>
    </sheetView>
  </sheetViews>
  <sheetFormatPr defaultRowHeight="19.5" customHeight="1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>
      <c r="A1" s="320" t="s">
        <v>242</v>
      </c>
      <c r="B1" s="321"/>
    </row>
    <row r="2" spans="1:2" s="102" customFormat="1" ht="19.5" customHeight="1">
      <c r="A2" s="246" t="s">
        <v>218</v>
      </c>
      <c r="B2" s="247" t="s">
        <v>297</v>
      </c>
    </row>
    <row r="3" spans="1:2" ht="19.5" customHeight="1">
      <c r="A3" s="153">
        <v>1</v>
      </c>
      <c r="B3" s="152">
        <v>33.629999999999995</v>
      </c>
    </row>
    <row r="4" spans="1:2" ht="19.5" customHeight="1">
      <c r="A4" s="153">
        <v>2</v>
      </c>
      <c r="B4" s="152">
        <v>43.13</v>
      </c>
    </row>
    <row r="5" spans="1:2" ht="19.5" customHeight="1">
      <c r="A5" s="153">
        <v>3</v>
      </c>
      <c r="B5" s="152">
        <v>48.68</v>
      </c>
    </row>
    <row r="6" spans="1:2" ht="19.5" customHeight="1">
      <c r="A6" s="153">
        <v>4</v>
      </c>
      <c r="B6" s="152">
        <v>52.62</v>
      </c>
    </row>
    <row r="7" spans="1:2" ht="19.5" customHeight="1">
      <c r="A7" s="153">
        <v>5</v>
      </c>
      <c r="B7" s="152">
        <v>55.679999999999993</v>
      </c>
    </row>
    <row r="8" spans="1:2" ht="19.5" customHeight="1">
      <c r="A8" s="153">
        <v>6</v>
      </c>
      <c r="B8" s="152">
        <v>58.18</v>
      </c>
    </row>
    <row r="9" spans="1:2" ht="19.5" customHeight="1">
      <c r="A9" s="153">
        <v>7</v>
      </c>
      <c r="B9" s="152">
        <v>60.29</v>
      </c>
    </row>
    <row r="10" spans="1:2" ht="19.5" customHeight="1">
      <c r="A10" s="153">
        <v>8</v>
      </c>
      <c r="B10" s="152">
        <v>62.12</v>
      </c>
    </row>
    <row r="11" spans="1:2" ht="19.5" customHeight="1">
      <c r="A11" s="153">
        <v>9</v>
      </c>
      <c r="B11" s="152">
        <v>63.73</v>
      </c>
    </row>
    <row r="12" spans="1:2" ht="19.5" customHeight="1">
      <c r="A12" s="153">
        <v>10</v>
      </c>
      <c r="B12" s="152">
        <v>65.180000000000007</v>
      </c>
    </row>
    <row r="13" spans="1:2" ht="19.5" customHeight="1">
      <c r="A13" s="153">
        <v>11</v>
      </c>
      <c r="B13" s="152">
        <v>66.47999999999999</v>
      </c>
    </row>
    <row r="14" spans="1:2" ht="19.5" customHeight="1">
      <c r="A14" s="153">
        <v>12</v>
      </c>
      <c r="B14" s="152">
        <v>67.67</v>
      </c>
    </row>
    <row r="15" spans="1:2" ht="19.5" customHeight="1">
      <c r="A15" s="153">
        <v>13</v>
      </c>
      <c r="B15" s="152">
        <v>68.77</v>
      </c>
    </row>
    <row r="16" spans="1:2" ht="19.5" customHeight="1">
      <c r="A16" s="153">
        <v>14</v>
      </c>
      <c r="B16" s="152">
        <v>69.789999999999992</v>
      </c>
    </row>
    <row r="17" spans="1:2" ht="19.5" customHeight="1" thickBot="1">
      <c r="A17" s="154">
        <v>15</v>
      </c>
      <c r="B17" s="155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B39" sqref="B39"/>
    </sheetView>
  </sheetViews>
  <sheetFormatPr defaultRowHeight="12.75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>
      <c r="A1" s="230" t="s">
        <v>246</v>
      </c>
    </row>
    <row r="2" spans="1:1">
      <c r="A2" s="227"/>
    </row>
    <row r="3" spans="1:1">
      <c r="A3" s="227" t="s">
        <v>261</v>
      </c>
    </row>
    <row r="4" spans="1:1">
      <c r="A4" s="227"/>
    </row>
    <row r="5" spans="1:1">
      <c r="A5" s="227"/>
    </row>
    <row r="6" spans="1:1">
      <c r="A6" s="227"/>
    </row>
    <row r="7" spans="1:1">
      <c r="A7" s="227"/>
    </row>
    <row r="8" spans="1:1">
      <c r="A8" s="227"/>
    </row>
    <row r="9" spans="1:1">
      <c r="A9" s="227"/>
    </row>
    <row r="10" spans="1:1">
      <c r="A10" s="227"/>
    </row>
    <row r="11" spans="1:1">
      <c r="A11" s="227"/>
    </row>
    <row r="12" spans="1:1" ht="19.5">
      <c r="A12" s="228" t="s">
        <v>243</v>
      </c>
    </row>
    <row r="13" spans="1:1" ht="15">
      <c r="A13" s="228" t="s">
        <v>119</v>
      </c>
    </row>
    <row r="14" spans="1:1" ht="15">
      <c r="A14" s="228" t="s">
        <v>124</v>
      </c>
    </row>
    <row r="15" spans="1:1" ht="19.5">
      <c r="A15" s="228" t="s">
        <v>244</v>
      </c>
    </row>
    <row r="16" spans="1:1" ht="19.5">
      <c r="A16" s="228" t="s">
        <v>245</v>
      </c>
    </row>
    <row r="17" spans="1:1" ht="15.75" thickBot="1">
      <c r="A17" s="229" t="s">
        <v>120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4"/>
  <sheetViews>
    <sheetView topLeftCell="A7" workbookViewId="0">
      <selection activeCell="C24" sqref="C24"/>
    </sheetView>
  </sheetViews>
  <sheetFormatPr defaultRowHeight="12.75"/>
  <cols>
    <col min="1" max="1" width="58.28515625" style="256" customWidth="1"/>
    <col min="2" max="2" width="11.140625" style="256" bestFit="1" customWidth="1"/>
    <col min="3" max="3" width="11.28515625" style="256" bestFit="1" customWidth="1"/>
    <col min="4" max="16384" width="9.140625" style="256"/>
  </cols>
  <sheetData>
    <row r="1" spans="1:7">
      <c r="A1" s="11" t="s">
        <v>214</v>
      </c>
    </row>
    <row r="2" spans="1:7">
      <c r="A2" s="261" t="s">
        <v>272</v>
      </c>
    </row>
    <row r="3" spans="1:7">
      <c r="A3" s="261" t="s">
        <v>298</v>
      </c>
    </row>
    <row r="4" spans="1:7">
      <c r="A4" s="7" t="s">
        <v>296</v>
      </c>
    </row>
    <row r="5" spans="1:7">
      <c r="A5" s="7"/>
    </row>
    <row r="6" spans="1:7" s="4" customFormat="1" ht="15.6" customHeight="1">
      <c r="A6" s="280" t="s">
        <v>307</v>
      </c>
      <c r="B6" s="5"/>
      <c r="C6" s="5"/>
      <c r="D6" s="5"/>
      <c r="E6" s="5"/>
      <c r="F6" s="5"/>
      <c r="G6" s="6"/>
    </row>
    <row r="7" spans="1:7" s="4" customFormat="1" ht="16.5" customHeight="1">
      <c r="A7" s="280" t="s">
        <v>304</v>
      </c>
      <c r="B7" s="5"/>
      <c r="C7" s="5"/>
      <c r="D7" s="6"/>
      <c r="E7" s="6"/>
      <c r="F7" s="6"/>
      <c r="G7" s="6"/>
    </row>
    <row r="8" spans="1:7" ht="13.5" thickBot="1"/>
    <row r="9" spans="1:7" ht="18">
      <c r="A9" s="322" t="s">
        <v>292</v>
      </c>
      <c r="B9" s="323"/>
      <c r="C9" s="324"/>
    </row>
    <row r="10" spans="1:7" ht="18">
      <c r="A10" s="274"/>
      <c r="B10" s="273"/>
      <c r="C10" s="275"/>
    </row>
    <row r="11" spans="1:7" s="102" customFormat="1" ht="15">
      <c r="A11" s="262" t="s">
        <v>293</v>
      </c>
      <c r="B11" s="263" t="s">
        <v>273</v>
      </c>
      <c r="C11" s="264" t="s">
        <v>154</v>
      </c>
    </row>
    <row r="12" spans="1:7" ht="14.25">
      <c r="A12" s="185" t="s">
        <v>281</v>
      </c>
      <c r="B12" s="265" t="s">
        <v>274</v>
      </c>
      <c r="C12" s="186">
        <v>4239</v>
      </c>
    </row>
    <row r="13" spans="1:7" ht="14.25">
      <c r="A13" s="185" t="s">
        <v>282</v>
      </c>
      <c r="B13" s="265" t="s">
        <v>279</v>
      </c>
      <c r="C13" s="266">
        <f>0.0362741*C12^0.2336249</f>
        <v>0.25527935794695678</v>
      </c>
    </row>
    <row r="14" spans="1:7" ht="14.25">
      <c r="A14" s="185" t="s">
        <v>283</v>
      </c>
      <c r="B14" s="265" t="s">
        <v>280</v>
      </c>
      <c r="C14" s="267">
        <f>C12*C13/1000</f>
        <v>1.0821291983371497</v>
      </c>
    </row>
    <row r="15" spans="1:7" ht="14.25">
      <c r="A15" s="185" t="s">
        <v>289</v>
      </c>
      <c r="B15" s="265" t="s">
        <v>275</v>
      </c>
      <c r="C15" s="268">
        <f>(C14*30)</f>
        <v>32.463875950114492</v>
      </c>
    </row>
    <row r="16" spans="1:7" ht="14.25">
      <c r="A16" s="185" t="s">
        <v>285</v>
      </c>
      <c r="B16" s="265" t="s">
        <v>97</v>
      </c>
      <c r="C16" s="271">
        <v>3</v>
      </c>
    </row>
    <row r="17" spans="1:3" ht="14.25">
      <c r="A17" s="185" t="s">
        <v>284</v>
      </c>
      <c r="B17" s="265" t="s">
        <v>280</v>
      </c>
      <c r="C17" s="267">
        <f>IFERROR(C14*7/C16,0)</f>
        <v>2.5249681294533493</v>
      </c>
    </row>
    <row r="18" spans="1:3" ht="14.25">
      <c r="A18" s="185" t="s">
        <v>276</v>
      </c>
      <c r="B18" s="265" t="s">
        <v>277</v>
      </c>
      <c r="C18" s="208">
        <v>500</v>
      </c>
    </row>
    <row r="19" spans="1:3" ht="14.25">
      <c r="A19" s="185" t="s">
        <v>290</v>
      </c>
      <c r="B19" s="265"/>
      <c r="C19" s="186"/>
    </row>
    <row r="20" spans="1:3" ht="14.25">
      <c r="A20" s="185" t="s">
        <v>291</v>
      </c>
      <c r="B20" s="265" t="s">
        <v>278</v>
      </c>
      <c r="C20" s="186">
        <v>15</v>
      </c>
    </row>
    <row r="21" spans="1:3" ht="14.25">
      <c r="A21" s="185" t="s">
        <v>286</v>
      </c>
      <c r="B21" s="265" t="s">
        <v>275</v>
      </c>
      <c r="C21" s="208">
        <f>IF(AND(C20&gt;=15,C19=1),5.8,C20/2)</f>
        <v>7.5</v>
      </c>
    </row>
    <row r="22" spans="1:3" ht="14.25">
      <c r="A22" s="185" t="s">
        <v>287</v>
      </c>
      <c r="B22" s="265"/>
      <c r="C22" s="267">
        <f>IFERROR(C17/C21,0)</f>
        <v>0.33666241726044654</v>
      </c>
    </row>
    <row r="23" spans="1:3" ht="14.25">
      <c r="A23" s="185" t="s">
        <v>294</v>
      </c>
      <c r="B23" s="265"/>
      <c r="C23" s="276">
        <v>1</v>
      </c>
    </row>
    <row r="24" spans="1:3" ht="15" thickBot="1">
      <c r="A24" s="269" t="s">
        <v>288</v>
      </c>
      <c r="B24" s="270"/>
      <c r="C24" s="272">
        <f>IFERROR(C22/C23,0)</f>
        <v>0.33666241726044654</v>
      </c>
    </row>
  </sheetData>
  <mergeCells count="1">
    <mergeCell ref="A9:C9"/>
  </mergeCells>
  <conditionalFormatting sqref="C21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Plan1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Prefeitura Municipal</cp:lastModifiedBy>
  <cp:lastPrinted>2017-08-10T17:29:27Z</cp:lastPrinted>
  <dcterms:created xsi:type="dcterms:W3CDTF">2000-12-13T10:02:50Z</dcterms:created>
  <dcterms:modified xsi:type="dcterms:W3CDTF">2023-01-12T18:38:49Z</dcterms:modified>
</cp:coreProperties>
</file>