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 defaultThemeVersion="124226"/>
  <bookViews>
    <workbookView xWindow="20370" yWindow="-120" windowWidth="20640" windowHeight="11160" tabRatio="802"/>
  </bookViews>
  <sheets>
    <sheet name="1. Coleta Domiciliar" sheetId="2" r:id="rId1"/>
    <sheet name="2.Encargos Sociais" sheetId="8" r:id="rId2"/>
    <sheet name="3.CAGED" sheetId="5" r:id="rId3"/>
    <sheet name="4.BDI" sheetId="4" r:id="rId4"/>
    <sheet name="5. Depreciação" sheetId="6" r:id="rId5"/>
    <sheet name="6.Remuneração de capital" sheetId="7" r:id="rId6"/>
    <sheet name="7. Dimensionamento" sheetId="9" r:id="rId7"/>
    <sheet name="Plan1" sheetId="10" r:id="rId8"/>
  </sheets>
  <definedNames>
    <definedName name="AbaDeprec">'5. Depreciação'!$A$1</definedName>
    <definedName name="AbaRemun">'6.Remuneração de capital'!$A$1</definedName>
    <definedName name="_xlnm.Print_Area" localSheetId="0">'1. Coleta Domiciliar'!$A$1:$F$293</definedName>
    <definedName name="_xlnm.Print_Area" localSheetId="1">'2.Encargos Sociais'!$A$1:$C$33</definedName>
  </definedNames>
  <calcPr calcId="125725"/>
</workbook>
</file>

<file path=xl/calcChain.xml><?xml version="1.0" encoding="utf-8"?>
<calcChain xmlns="http://schemas.openxmlformats.org/spreadsheetml/2006/main">
  <c r="D192" i="2"/>
  <c r="D158"/>
  <c r="E132" l="1"/>
  <c r="E153"/>
  <c r="E166"/>
  <c r="E204"/>
  <c r="E212"/>
  <c r="E188"/>
  <c r="E76"/>
  <c r="D197"/>
  <c r="F271"/>
  <c r="E25" s="1"/>
  <c r="D49"/>
  <c r="E49"/>
  <c r="D50"/>
  <c r="E50" s="1"/>
  <c r="C19" i="9"/>
  <c r="C17" i="5"/>
  <c r="C209" i="2"/>
  <c r="C208"/>
  <c r="C210"/>
  <c r="A26"/>
  <c r="A24"/>
  <c r="A23"/>
  <c r="A15"/>
  <c r="A14"/>
  <c r="A6"/>
  <c r="C11" i="9"/>
  <c r="C12" s="1"/>
  <c r="C179" i="2"/>
  <c r="C184"/>
  <c r="E35"/>
  <c r="C131" s="1"/>
  <c r="E131" s="1"/>
  <c r="E33"/>
  <c r="C152"/>
  <c r="C203"/>
  <c r="C198"/>
  <c r="D228"/>
  <c r="D226"/>
  <c r="D224"/>
  <c r="D222"/>
  <c r="E158"/>
  <c r="E142"/>
  <c r="E143"/>
  <c r="E144"/>
  <c r="E145"/>
  <c r="E146"/>
  <c r="E147"/>
  <c r="E148"/>
  <c r="E149"/>
  <c r="E150"/>
  <c r="E141"/>
  <c r="D82"/>
  <c r="E82" s="1"/>
  <c r="D84" s="1"/>
  <c r="E84" s="1"/>
  <c r="C101"/>
  <c r="C104"/>
  <c r="D83"/>
  <c r="E83" s="1"/>
  <c r="C69"/>
  <c r="C66"/>
  <c r="C243"/>
  <c r="D96"/>
  <c r="A22"/>
  <c r="A21"/>
  <c r="A20"/>
  <c r="A19"/>
  <c r="A18"/>
  <c r="A17"/>
  <c r="A16"/>
  <c r="A13"/>
  <c r="A12"/>
  <c r="A11"/>
  <c r="A10"/>
  <c r="A9"/>
  <c r="A8"/>
  <c r="A7"/>
  <c r="C14" i="8"/>
  <c r="E268" i="2"/>
  <c r="E112"/>
  <c r="C8" i="4"/>
  <c r="F6"/>
  <c r="E6"/>
  <c r="D6"/>
  <c r="C11" i="8"/>
  <c r="C19" i="5"/>
  <c r="C20" s="1"/>
  <c r="C25" i="8" s="1"/>
  <c r="C107" i="2"/>
  <c r="C98"/>
  <c r="D95"/>
  <c r="D101" s="1"/>
  <c r="E101" s="1"/>
  <c r="E80"/>
  <c r="C119"/>
  <c r="C241"/>
  <c r="E241" s="1"/>
  <c r="C220"/>
  <c r="C226" s="1"/>
  <c r="C222"/>
  <c r="E222"/>
  <c r="D220"/>
  <c r="E220" s="1"/>
  <c r="E176"/>
  <c r="D208" s="1"/>
  <c r="C185"/>
  <c r="C180"/>
  <c r="C63"/>
  <c r="C266"/>
  <c r="E266"/>
  <c r="D267" s="1"/>
  <c r="E267" s="1"/>
  <c r="C181"/>
  <c r="C197" s="1"/>
  <c r="E197" s="1"/>
  <c r="C118"/>
  <c r="A32"/>
  <c r="A33"/>
  <c r="A34"/>
  <c r="A35"/>
  <c r="A39"/>
  <c r="E48"/>
  <c r="C71"/>
  <c r="A124"/>
  <c r="A130" s="1"/>
  <c r="A125"/>
  <c r="A131" s="1"/>
  <c r="E151"/>
  <c r="D159"/>
  <c r="E159" s="1"/>
  <c r="D160"/>
  <c r="E160" s="1"/>
  <c r="D161"/>
  <c r="E161"/>
  <c r="D162"/>
  <c r="E162" s="1"/>
  <c r="D163"/>
  <c r="E163"/>
  <c r="E164"/>
  <c r="E239"/>
  <c r="E210"/>
  <c r="E209"/>
  <c r="E252"/>
  <c r="E255"/>
  <c r="E256"/>
  <c r="E253"/>
  <c r="E254"/>
  <c r="D86"/>
  <c r="E86" s="1"/>
  <c r="D69"/>
  <c r="D64"/>
  <c r="E64" s="1"/>
  <c r="D67"/>
  <c r="E67"/>
  <c r="D66"/>
  <c r="E66" s="1"/>
  <c r="D63"/>
  <c r="E63"/>
  <c r="E125"/>
  <c r="E61"/>
  <c r="E124"/>
  <c r="E36"/>
  <c r="C224"/>
  <c r="E224" s="1"/>
  <c r="C234"/>
  <c r="E234" s="1"/>
  <c r="F235" s="1"/>
  <c r="E21"/>
  <c r="E264"/>
  <c r="D265" s="1"/>
  <c r="E265" s="1"/>
  <c r="F268" s="1"/>
  <c r="F270" s="1"/>
  <c r="E24" s="1"/>
  <c r="E192"/>
  <c r="D107"/>
  <c r="C130"/>
  <c r="E130" s="1"/>
  <c r="C13" i="9" l="1"/>
  <c r="C15"/>
  <c r="C20" s="1"/>
  <c r="C22" s="1"/>
  <c r="F132" i="2"/>
  <c r="C165"/>
  <c r="D104"/>
  <c r="E104" s="1"/>
  <c r="D99"/>
  <c r="E99" s="1"/>
  <c r="D51"/>
  <c r="E51" s="1"/>
  <c r="E95"/>
  <c r="E208"/>
  <c r="D211" s="1"/>
  <c r="E211" s="1"/>
  <c r="F212" s="1"/>
  <c r="E19" s="1"/>
  <c r="E69"/>
  <c r="D98"/>
  <c r="E98" s="1"/>
  <c r="D102"/>
  <c r="E102" s="1"/>
  <c r="D179"/>
  <c r="E179" s="1"/>
  <c r="D180" s="1"/>
  <c r="E180" s="1"/>
  <c r="F257"/>
  <c r="F259" s="1"/>
  <c r="E23" s="1"/>
  <c r="D242"/>
  <c r="E242" s="1"/>
  <c r="D243" s="1"/>
  <c r="E243" s="1"/>
  <c r="F244" s="1"/>
  <c r="E22" s="1"/>
  <c r="D229"/>
  <c r="D152"/>
  <c r="E152" s="1"/>
  <c r="F153" s="1"/>
  <c r="F126"/>
  <c r="E12" s="1"/>
  <c r="D118"/>
  <c r="E118" s="1"/>
  <c r="D52"/>
  <c r="E52" s="1"/>
  <c r="E53" s="1"/>
  <c r="E181"/>
  <c r="D165"/>
  <c r="C21" i="5"/>
  <c r="D119" i="2"/>
  <c r="E119" s="1"/>
  <c r="E87"/>
  <c r="E13"/>
  <c r="C194"/>
  <c r="E226"/>
  <c r="F230" s="1"/>
  <c r="E20" s="1"/>
  <c r="E107"/>
  <c r="C228"/>
  <c r="E228" s="1"/>
  <c r="E165" l="1"/>
  <c r="F166" s="1"/>
  <c r="D105"/>
  <c r="E105" s="1"/>
  <c r="E108" s="1"/>
  <c r="D109" s="1"/>
  <c r="D70"/>
  <c r="E70" s="1"/>
  <c r="C195"/>
  <c r="D196" s="1"/>
  <c r="E196" s="1"/>
  <c r="F168"/>
  <c r="E14" s="1"/>
  <c r="D54"/>
  <c r="D88"/>
  <c r="C24" i="8"/>
  <c r="C27" i="5"/>
  <c r="C21" i="8" s="1"/>
  <c r="C22" i="5"/>
  <c r="F120" i="2"/>
  <c r="D184"/>
  <c r="E184" s="1"/>
  <c r="D185" s="1"/>
  <c r="E185" s="1"/>
  <c r="E186" s="1"/>
  <c r="D187" s="1"/>
  <c r="E187" s="1"/>
  <c r="F188" s="1"/>
  <c r="C199"/>
  <c r="C200" s="1"/>
  <c r="D201" s="1"/>
  <c r="E201" s="1"/>
  <c r="D71" l="1"/>
  <c r="E71" s="1"/>
  <c r="E72" s="1"/>
  <c r="D73" s="1"/>
  <c r="E202"/>
  <c r="D203" s="1"/>
  <c r="E203" s="1"/>
  <c r="F204" s="1"/>
  <c r="E18" s="1"/>
  <c r="E17"/>
  <c r="C29" i="8"/>
  <c r="E11" i="2"/>
  <c r="C13" i="8"/>
  <c r="C19" s="1"/>
  <c r="C28" s="1"/>
  <c r="C22"/>
  <c r="C30" l="1"/>
  <c r="F247" i="2"/>
  <c r="E15" s="1"/>
  <c r="E16"/>
  <c r="C23" i="8"/>
  <c r="C26" s="1"/>
  <c r="C31" l="1"/>
  <c r="C54" i="2" s="1"/>
  <c r="E54" s="1"/>
  <c r="E55" s="1"/>
  <c r="D56" s="1"/>
  <c r="E56" s="1"/>
  <c r="F57" s="1"/>
  <c r="E7" s="1"/>
  <c r="C109"/>
  <c r="E109" s="1"/>
  <c r="E110" s="1"/>
  <c r="D111" s="1"/>
  <c r="E111" s="1"/>
  <c r="F112" s="1"/>
  <c r="C73" l="1"/>
  <c r="E73" s="1"/>
  <c r="E74" s="1"/>
  <c r="D75" s="1"/>
  <c r="E75" s="1"/>
  <c r="F76" s="1"/>
  <c r="E8" s="1"/>
  <c r="C88"/>
  <c r="E88" s="1"/>
  <c r="E89" s="1"/>
  <c r="D90" s="1"/>
  <c r="E90" s="1"/>
  <c r="F91" s="1"/>
  <c r="E9" s="1"/>
  <c r="E10"/>
  <c r="F134"/>
  <c r="E6" l="1"/>
  <c r="F273"/>
  <c r="D278" l="1"/>
  <c r="E278" s="1"/>
  <c r="F279" s="1"/>
  <c r="F281" s="1"/>
  <c r="E26" s="1"/>
  <c r="E27" s="1"/>
  <c r="F25" l="1"/>
  <c r="F21"/>
  <c r="F24"/>
  <c r="F12"/>
  <c r="F19"/>
  <c r="F22"/>
  <c r="F23"/>
  <c r="F13"/>
  <c r="F20"/>
  <c r="F14"/>
  <c r="F18"/>
  <c r="F11"/>
  <c r="F17"/>
  <c r="F15"/>
  <c r="F16"/>
  <c r="F9"/>
  <c r="F8"/>
  <c r="F7"/>
  <c r="F10"/>
  <c r="F26"/>
  <c r="F284"/>
  <c r="F289" s="1"/>
  <c r="F6"/>
  <c r="F27" l="1"/>
</calcChain>
</file>

<file path=xl/comments1.xml><?xml version="1.0" encoding="utf-8"?>
<comments xmlns="http://schemas.openxmlformats.org/spreadsheetml/2006/main">
  <authors>
    <author>Clauber Bridi</author>
  </authors>
  <commentList>
    <comment ref="A4" authorId="0">
      <text>
        <r>
          <rPr>
            <sz val="9"/>
            <color indexed="81"/>
            <rFont val="Tahoma"/>
            <family val="2"/>
          </rPr>
          <t>Qualquer custo previsto no edital e não contemplado nesta planilha modelo deverá ser devidamente incluído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42" authorId="0">
      <text>
        <r>
          <rPr>
            <b/>
            <sz val="9"/>
            <color indexed="81"/>
            <rFont val="Tahoma"/>
            <family val="2"/>
          </rPr>
          <t>Informar o fator de utilização das equipes de coleta. 
Por exemplo:
Equipes com utilização integral = 100%
Equipes com utilização parcial = n° horas trabalhadas por semana /44 horas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48" authorId="0">
      <text>
        <r>
          <rPr>
            <sz val="9"/>
            <color indexed="81"/>
            <rFont val="Tahoma"/>
            <family val="2"/>
          </rPr>
          <t>Informar o Piso da categoria fixado na Convenção Coletiva</t>
        </r>
      </text>
    </comment>
    <comment ref="C49" authorId="0">
      <text>
        <r>
          <rPr>
            <sz val="9"/>
            <color indexed="81"/>
            <rFont val="Tahoma"/>
            <family val="2"/>
          </rPr>
          <t>Informar o número de horas extras trabalhadas nos domingos e feriados em horário diurno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50" authorId="0">
      <text>
        <r>
          <rPr>
            <sz val="9"/>
            <color indexed="81"/>
            <rFont val="Tahoma"/>
            <family val="2"/>
          </rPr>
          <t xml:space="preserve">Informar o número de horas extras trabalhadas em horário diurno de segunda a sábado 
</t>
        </r>
      </text>
    </comment>
    <comment ref="A51" authorId="0">
      <text>
        <r>
          <rPr>
            <sz val="9"/>
            <color indexed="81"/>
            <rFont val="Tahoma"/>
            <family val="2"/>
          </rPr>
          <t>Cálculo do descanso semanal remunerado incidente sobre as horas extras habitualmente prestadas. Considerada a média de 63 feriados + domingos e 302 dias trabalhados por ano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54" authorId="0">
      <text>
        <r>
          <rPr>
            <sz val="9"/>
            <color indexed="81"/>
            <rFont val="Tahoma"/>
            <family val="2"/>
          </rPr>
          <t xml:space="preserve">Preencher a planilha Encargos Sociais e CAGED </t>
        </r>
      </text>
    </comment>
    <comment ref="C56" authorId="0">
      <text>
        <r>
          <rPr>
            <sz val="9"/>
            <color indexed="81"/>
            <rFont val="Tahoma"/>
            <family val="2"/>
          </rPr>
          <t>Informar a quantidade de trabalhadores na função</t>
        </r>
      </text>
    </comment>
    <comment ref="C62" authorId="0">
      <text>
        <r>
          <rPr>
            <sz val="9"/>
            <color indexed="81"/>
            <rFont val="Tahoma"/>
            <family val="2"/>
          </rPr>
          <t>Informar o número de horas noturnas trabalhadas no intervalo das 22:00h as 5:00h</t>
        </r>
      </text>
    </comment>
    <comment ref="C64" authorId="0">
      <text>
        <r>
          <rPr>
            <sz val="9"/>
            <color indexed="81"/>
            <rFont val="Tahoma"/>
            <family val="2"/>
          </rPr>
          <t>Informar o número de horas extras trabalhadas em horário diurno nos domingos e feriados</t>
        </r>
      </text>
    </comment>
    <comment ref="C65" authorId="0">
      <text>
        <r>
          <rPr>
            <sz val="9"/>
            <color indexed="81"/>
            <rFont val="Tahoma"/>
            <family val="2"/>
          </rPr>
          <t xml:space="preserve">Informar o número de horas extras trabalhadas em horário noturno (das 22:00h as 5h) nos domingos e feriados
</t>
        </r>
      </text>
    </comment>
    <comment ref="C67" authorId="0">
      <text>
        <r>
          <rPr>
            <sz val="9"/>
            <color indexed="81"/>
            <rFont val="Tahoma"/>
            <family val="2"/>
          </rPr>
          <t>Informar o número de horas extras trabalhadas em horário noturno de segunda à sábado</t>
        </r>
      </text>
    </comment>
    <comment ref="C68" authorId="0">
      <text>
        <r>
          <rPr>
            <sz val="9"/>
            <color indexed="81"/>
            <rFont val="Tahoma"/>
            <family val="2"/>
          </rPr>
          <t>Informar o número de horas extras trabalhadas em horário noturno (das 22:00h as 5h) de segunda a sábado</t>
        </r>
      </text>
    </comment>
    <comment ref="A70" authorId="0">
      <text>
        <r>
          <rPr>
            <sz val="9"/>
            <color indexed="81"/>
            <rFont val="Tahoma"/>
            <family val="2"/>
          </rPr>
          <t>Cálculo do descanso semanal remunerado incidente sobre as horas extras habitualmente prestadas. Considerados 63 feriados + domingos e 302 dias trabalhados por ano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73" authorId="0">
      <text>
        <r>
          <rPr>
            <sz val="9"/>
            <color indexed="81"/>
            <rFont val="Tahoma"/>
            <family val="2"/>
          </rPr>
          <t xml:space="preserve">Preencher a planilha Encargos Sociais e CAGED </t>
        </r>
      </text>
    </comment>
    <comment ref="C75" authorId="0">
      <text>
        <r>
          <rPr>
            <sz val="9"/>
            <color indexed="81"/>
            <rFont val="Tahoma"/>
            <family val="2"/>
          </rPr>
          <t>Informar a quantidade de trabalhadores na função</t>
        </r>
      </text>
    </comment>
    <comment ref="D80" authorId="0">
      <text>
        <r>
          <rPr>
            <sz val="9"/>
            <color indexed="81"/>
            <rFont val="Tahoma"/>
            <family val="2"/>
          </rPr>
          <t>Informar o Piso da categoria fixado na Convenção Coletiva</t>
        </r>
      </text>
    </comment>
    <comment ref="D81" authorId="0">
      <text>
        <r>
          <rPr>
            <sz val="9"/>
            <color indexed="81"/>
            <rFont val="Tahoma"/>
            <family val="2"/>
          </rPr>
          <t>Informar o valor do salário Mínimo Nacional</t>
        </r>
      </text>
    </comment>
    <comment ref="C82" authorId="0">
      <text>
        <r>
          <rPr>
            <sz val="9"/>
            <color indexed="81"/>
            <rFont val="Tahoma"/>
            <family val="2"/>
          </rPr>
          <t>Informar o número de horas extras trabalhadas em horário diurno nos domingos e feriados</t>
        </r>
      </text>
    </comment>
    <comment ref="C83" authorId="0">
      <text>
        <r>
          <rPr>
            <sz val="9"/>
            <color indexed="81"/>
            <rFont val="Tahoma"/>
            <family val="2"/>
          </rPr>
          <t xml:space="preserve">Informar o número de horas extras trabalhadas em horário diurno de segunda a sábado 
</t>
        </r>
      </text>
    </comment>
    <comment ref="A84" authorId="0">
      <text>
        <r>
          <rPr>
            <sz val="9"/>
            <color indexed="81"/>
            <rFont val="Tahoma"/>
            <family val="2"/>
          </rPr>
          <t>Cálculo do descanso semanal remunerado incidente sobre as horas extras habitualmente prestadas. Considerada a média de 63 feriados + domingos e 302 dias trabalhados por ano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85" authorId="0">
      <text>
        <r>
          <rPr>
            <sz val="9"/>
            <color indexed="81"/>
            <rFont val="Tahoma"/>
            <family val="2"/>
          </rPr>
          <t xml:space="preserve">Informar 1 se a base de cálculo for o Salário Mínimo Nacional; Informar 2 se a base de cálculo for o Piso da Categoria; 
</t>
        </r>
      </text>
    </comment>
    <comment ref="C86" authorId="0">
      <text>
        <r>
          <rPr>
            <sz val="9"/>
            <color indexed="81"/>
            <rFont val="Tahoma"/>
            <family val="2"/>
          </rPr>
          <t>Percentual estabelecido nas Normas de Segurança de Trabalho ou pelo laudo de responsável técnico devidamente habilitado</t>
        </r>
      </text>
    </comment>
    <comment ref="C88" authorId="0">
      <text>
        <r>
          <rPr>
            <sz val="9"/>
            <color indexed="81"/>
            <rFont val="Tahoma"/>
            <family val="2"/>
          </rPr>
          <t xml:space="preserve">Preencher a planilha Encargos Sociais e CAGED </t>
        </r>
      </text>
    </comment>
    <comment ref="C90" authorId="0">
      <text>
        <r>
          <rPr>
            <sz val="9"/>
            <color indexed="81"/>
            <rFont val="Tahoma"/>
            <family val="2"/>
          </rPr>
          <t>Informar a quantidade de trabalhadores na função</t>
        </r>
      </text>
    </comment>
    <comment ref="C97" authorId="0">
      <text>
        <r>
          <rPr>
            <sz val="9"/>
            <color indexed="81"/>
            <rFont val="Tahoma"/>
            <family val="2"/>
          </rPr>
          <t>Informar o número de horas noturnas trabalhadas no intervalo das 22:00h as 5:00h</t>
        </r>
      </text>
    </comment>
    <comment ref="C99" authorId="0">
      <text>
        <r>
          <rPr>
            <sz val="9"/>
            <color indexed="81"/>
            <rFont val="Tahoma"/>
            <family val="2"/>
          </rPr>
          <t>Informar o número de horas extras trabalhadas em horário noturno nos domingos e feriados</t>
        </r>
      </text>
    </comment>
    <comment ref="C100" authorId="0">
      <text>
        <r>
          <rPr>
            <sz val="9"/>
            <color indexed="81"/>
            <rFont val="Tahoma"/>
            <family val="2"/>
          </rPr>
          <t xml:space="preserve">Informar o número de horas extras trabalhadas em horário noturno (das 22:00h as 5h) nos domingos e feriados
</t>
        </r>
      </text>
    </comment>
    <comment ref="C102" authorId="0">
      <text>
        <r>
          <rPr>
            <sz val="9"/>
            <color indexed="81"/>
            <rFont val="Tahoma"/>
            <family val="2"/>
          </rPr>
          <t>Informar o número de horas extras trabalhadas em horário noturno de segunda à sábado</t>
        </r>
      </text>
    </comment>
    <comment ref="C103" authorId="0">
      <text>
        <r>
          <rPr>
            <sz val="9"/>
            <color indexed="81"/>
            <rFont val="Tahoma"/>
            <family val="2"/>
          </rPr>
          <t>Informar o número de horas extras trabalhadas em horário noturno (das 22:00h as 5h) de segunda a sábado</t>
        </r>
      </text>
    </comment>
    <comment ref="A105" authorId="0">
      <text>
        <r>
          <rPr>
            <sz val="9"/>
            <color indexed="81"/>
            <rFont val="Tahoma"/>
            <family val="2"/>
          </rPr>
          <t>Cálculo do descanso semanal remunerado incidente sobre as horas extras habitualmente prestadas. Considerados 63 feriados + domingos e 302 dias trabalhados por ano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06" authorId="0">
      <text>
        <r>
          <rPr>
            <sz val="9"/>
            <color indexed="81"/>
            <rFont val="Tahoma"/>
            <family val="2"/>
          </rPr>
          <t xml:space="preserve">Informar 1 se a base de cálculo for o Salário Mínimo Nacional; Informar 2 se a base de cálculo for o Piso da Categoria; 
</t>
        </r>
      </text>
    </comment>
    <comment ref="C109" authorId="0">
      <text>
        <r>
          <rPr>
            <sz val="9"/>
            <color indexed="81"/>
            <rFont val="Tahoma"/>
            <family val="2"/>
          </rPr>
          <t xml:space="preserve">Preencher a planilha Encargos Sociais e CAGED </t>
        </r>
      </text>
    </comment>
    <comment ref="C111" authorId="0">
      <text>
        <r>
          <rPr>
            <sz val="9"/>
            <color indexed="81"/>
            <rFont val="Tahoma"/>
            <family val="2"/>
          </rPr>
          <t>Informar a quantidade de trabalhadores na função</t>
        </r>
      </text>
    </comment>
    <comment ref="D116" authorId="0">
      <text>
        <r>
          <rPr>
            <sz val="9"/>
            <color indexed="81"/>
            <rFont val="Tahoma"/>
            <family val="2"/>
          </rPr>
          <t>Informar o valor unitário do VT no município</t>
        </r>
      </text>
    </comment>
    <comment ref="C117" authorId="0">
      <text>
        <r>
          <rPr>
            <sz val="9"/>
            <color indexed="81"/>
            <rFont val="Tahoma"/>
            <family val="2"/>
          </rPr>
          <t>Informar o número médio de dias trabalhados por mês</t>
        </r>
      </text>
    </comment>
    <comment ref="D118" authorId="0">
      <text>
        <r>
          <rPr>
            <sz val="9"/>
            <color indexed="81"/>
            <rFont val="Tahoma"/>
            <family val="2"/>
          </rPr>
          <t>Valor Unitário considerando o desconto legal de até 6% do salário</t>
        </r>
      </text>
    </comment>
    <comment ref="D119" authorId="0">
      <text>
        <r>
          <rPr>
            <sz val="9"/>
            <color indexed="81"/>
            <rFont val="Tahoma"/>
            <family val="2"/>
          </rPr>
          <t xml:space="preserve">Valor Unitário considerando o desconto legal de até 6% do salário
</t>
        </r>
      </text>
    </comment>
    <comment ref="D124" authorId="0">
      <text>
        <r>
          <rPr>
            <sz val="9"/>
            <color indexed="81"/>
            <rFont val="Tahoma"/>
            <family val="2"/>
          </rPr>
          <t>Informar o valor unitário diário do vale refeição, considerando o desconto aplicável ao funcionário, conforme Convenção Coletiva da categoria.</t>
        </r>
      </text>
    </comment>
    <comment ref="D125" authorId="0">
      <text>
        <r>
          <rPr>
            <sz val="9"/>
            <color indexed="81"/>
            <rFont val="Tahoma"/>
            <family val="2"/>
          </rPr>
          <t>Informar o valor unitário diário do vale refeição, considerando o desconto aplicável ao funcionário, conforme Convenção Coletiva da categoria.</t>
        </r>
      </text>
    </comment>
    <comment ref="D130" authorId="0">
      <text>
        <r>
          <rPr>
            <sz val="9"/>
            <color indexed="81"/>
            <rFont val="Tahoma"/>
            <family val="2"/>
          </rPr>
          <t>Informar o valor mensal do auxilio alimentação, considerando o desconto aplicável ao funcionário, conforme Convenção Coletiva da categoria</t>
        </r>
      </text>
    </comment>
    <comment ref="D131" authorId="0">
      <text>
        <r>
          <rPr>
            <sz val="9"/>
            <color indexed="81"/>
            <rFont val="Tahoma"/>
            <family val="2"/>
          </rPr>
          <t>Informar o valor mensal do auxilio alimentação, considerando o desconto aplicável ao funcionário, conforme Convenção Coletiva da categoria</t>
        </r>
      </text>
    </comment>
    <comment ref="C141" authorId="0">
      <text>
        <r>
          <rPr>
            <sz val="9"/>
            <color indexed="81"/>
            <rFont val="Tahoma"/>
            <family val="2"/>
          </rPr>
          <t xml:space="preserve">Informar a durabilidade estimada em meses, para cada EPI
</t>
        </r>
      </text>
    </comment>
    <comment ref="D141" authorId="0">
      <text>
        <r>
          <rPr>
            <sz val="9"/>
            <color indexed="81"/>
            <rFont val="Tahoma"/>
            <family val="2"/>
          </rPr>
          <t>Informar o valor unitário estimado para aquisição de cada EPI</t>
        </r>
      </text>
    </comment>
    <comment ref="C142" authorId="0">
      <text>
        <r>
          <rPr>
            <sz val="9"/>
            <color indexed="81"/>
            <rFont val="Tahoma"/>
            <family val="2"/>
          </rPr>
          <t xml:space="preserve">Informar a durabilidade estimada em meses, para cada EPI
</t>
        </r>
      </text>
    </comment>
    <comment ref="D142" authorId="0">
      <text>
        <r>
          <rPr>
            <sz val="9"/>
            <color indexed="81"/>
            <rFont val="Tahoma"/>
            <family val="2"/>
          </rPr>
          <t>Informar o valor unitário estimado para aquisição de cada EPI</t>
        </r>
      </text>
    </comment>
    <comment ref="C143" authorId="0">
      <text>
        <r>
          <rPr>
            <sz val="9"/>
            <color indexed="81"/>
            <rFont val="Tahoma"/>
            <family val="2"/>
          </rPr>
          <t xml:space="preserve">Informar a durabilidade estimada em meses, para cada EPI
</t>
        </r>
      </text>
    </comment>
    <comment ref="D143" authorId="0">
      <text>
        <r>
          <rPr>
            <sz val="9"/>
            <color indexed="81"/>
            <rFont val="Tahoma"/>
            <family val="2"/>
          </rPr>
          <t>Informar o valor unitário estimado para aquisição de cada EPI</t>
        </r>
      </text>
    </comment>
    <comment ref="C144" authorId="0">
      <text>
        <r>
          <rPr>
            <sz val="9"/>
            <color indexed="81"/>
            <rFont val="Tahoma"/>
            <family val="2"/>
          </rPr>
          <t xml:space="preserve">Informar a durabilidade estimada em meses, para cada EPI
</t>
        </r>
      </text>
    </comment>
    <comment ref="D144" authorId="0">
      <text>
        <r>
          <rPr>
            <sz val="9"/>
            <color indexed="81"/>
            <rFont val="Tahoma"/>
            <family val="2"/>
          </rPr>
          <t>Informar o valor unitário estimado para aquisição de cada EPI</t>
        </r>
      </text>
    </comment>
    <comment ref="C145" authorId="0">
      <text>
        <r>
          <rPr>
            <sz val="9"/>
            <color indexed="81"/>
            <rFont val="Tahoma"/>
            <family val="2"/>
          </rPr>
          <t xml:space="preserve">Informar a durabilidade estimada em meses, para cada EPI
</t>
        </r>
      </text>
    </comment>
    <comment ref="D145" authorId="0">
      <text>
        <r>
          <rPr>
            <sz val="9"/>
            <color indexed="81"/>
            <rFont val="Tahoma"/>
            <family val="2"/>
          </rPr>
          <t>Informar o valor unitário estimado para aquisição de cada EPI</t>
        </r>
      </text>
    </comment>
    <comment ref="C146" authorId="0">
      <text>
        <r>
          <rPr>
            <sz val="9"/>
            <color indexed="81"/>
            <rFont val="Tahoma"/>
            <family val="2"/>
          </rPr>
          <t xml:space="preserve">Informar a durabilidade estimada em meses, para cada EPI
</t>
        </r>
      </text>
    </comment>
    <comment ref="D146" authorId="0">
      <text>
        <r>
          <rPr>
            <sz val="9"/>
            <color indexed="81"/>
            <rFont val="Tahoma"/>
            <family val="2"/>
          </rPr>
          <t>Informar o valor unitário estimado para aquisição de cada EPI</t>
        </r>
      </text>
    </comment>
    <comment ref="C147" authorId="0">
      <text>
        <r>
          <rPr>
            <sz val="9"/>
            <color indexed="81"/>
            <rFont val="Tahoma"/>
            <family val="2"/>
          </rPr>
          <t xml:space="preserve">Informar a durabilidade estimada em meses, para cada EPI
</t>
        </r>
      </text>
    </comment>
    <comment ref="D147" authorId="0">
      <text>
        <r>
          <rPr>
            <sz val="9"/>
            <color indexed="81"/>
            <rFont val="Tahoma"/>
            <family val="2"/>
          </rPr>
          <t>Informar o valor unitário estimado para aquisição de cada EPI</t>
        </r>
      </text>
    </comment>
    <comment ref="C148" authorId="0">
      <text>
        <r>
          <rPr>
            <sz val="9"/>
            <color indexed="81"/>
            <rFont val="Tahoma"/>
            <family val="2"/>
          </rPr>
          <t xml:space="preserve">Informar a durabilidade estimada em meses, para cada EPI
</t>
        </r>
      </text>
    </comment>
    <comment ref="D148" authorId="0">
      <text>
        <r>
          <rPr>
            <sz val="9"/>
            <color indexed="81"/>
            <rFont val="Tahoma"/>
            <family val="2"/>
          </rPr>
          <t>Informar o valor unitário estimado para aquisição de cada EPI</t>
        </r>
      </text>
    </comment>
    <comment ref="C149" authorId="0">
      <text>
        <r>
          <rPr>
            <sz val="9"/>
            <color indexed="81"/>
            <rFont val="Tahoma"/>
            <family val="2"/>
          </rPr>
          <t xml:space="preserve">Informar a durabilidade estimada em meses, para cada EPI
</t>
        </r>
      </text>
    </comment>
    <comment ref="D149" authorId="0">
      <text>
        <r>
          <rPr>
            <sz val="9"/>
            <color indexed="81"/>
            <rFont val="Tahoma"/>
            <family val="2"/>
          </rPr>
          <t>Informar o valor unitário estimado para aquisição de cada EPI</t>
        </r>
      </text>
    </comment>
    <comment ref="C150" authorId="0">
      <text>
        <r>
          <rPr>
            <sz val="9"/>
            <color indexed="81"/>
            <rFont val="Tahoma"/>
            <family val="2"/>
          </rPr>
          <t xml:space="preserve">Informar a durabilidade estimada em meses, para cada EPI
</t>
        </r>
      </text>
    </comment>
    <comment ref="D150" authorId="0">
      <text>
        <r>
          <rPr>
            <sz val="9"/>
            <color indexed="81"/>
            <rFont val="Tahoma"/>
            <family val="2"/>
          </rPr>
          <t>Informar o valor unitário estimado para aquisição de cada EPI</t>
        </r>
      </text>
    </comment>
    <comment ref="D151" authorId="0">
      <text>
        <r>
          <rPr>
            <sz val="9"/>
            <color indexed="81"/>
            <rFont val="Tahoma"/>
            <family val="2"/>
          </rPr>
          <t>Informar o valor mensal de higienização de uniforme para 1 funcionário</t>
        </r>
      </text>
    </comment>
    <comment ref="C158" authorId="0">
      <text>
        <r>
          <rPr>
            <sz val="9"/>
            <color indexed="81"/>
            <rFont val="Tahoma"/>
            <family val="2"/>
          </rPr>
          <t xml:space="preserve">Informar a durabilidade estimada em meses, para cada EPI
</t>
        </r>
      </text>
    </comment>
    <comment ref="C159" authorId="0">
      <text>
        <r>
          <rPr>
            <sz val="9"/>
            <color indexed="81"/>
            <rFont val="Tahoma"/>
            <family val="2"/>
          </rPr>
          <t xml:space="preserve">Informar a durabilidade estimada em meses, para cada EPI
</t>
        </r>
      </text>
    </comment>
    <comment ref="C160" authorId="0">
      <text>
        <r>
          <rPr>
            <sz val="9"/>
            <color indexed="81"/>
            <rFont val="Tahoma"/>
            <family val="2"/>
          </rPr>
          <t xml:space="preserve">Informar a durabilidade estimada em meses, para cada EPI
</t>
        </r>
      </text>
    </comment>
    <comment ref="C161" authorId="0">
      <text>
        <r>
          <rPr>
            <sz val="9"/>
            <color indexed="81"/>
            <rFont val="Tahoma"/>
            <family val="2"/>
          </rPr>
          <t xml:space="preserve">Informar a durabilidade estimada em meses, para cada EPI
</t>
        </r>
      </text>
    </comment>
    <comment ref="C162" authorId="0">
      <text>
        <r>
          <rPr>
            <sz val="9"/>
            <color indexed="81"/>
            <rFont val="Tahoma"/>
            <family val="2"/>
          </rPr>
          <t xml:space="preserve">Informar a durabilidade estimada em meses, para cada EPI
</t>
        </r>
      </text>
    </comment>
    <comment ref="C163" authorId="0">
      <text>
        <r>
          <rPr>
            <sz val="9"/>
            <color indexed="81"/>
            <rFont val="Tahoma"/>
            <family val="2"/>
          </rPr>
          <t xml:space="preserve">Informar a durabilidade estimada em meses, para cada EPI
</t>
        </r>
      </text>
    </comment>
    <comment ref="D164" authorId="0">
      <text>
        <r>
          <rPr>
            <sz val="9"/>
            <color indexed="81"/>
            <rFont val="Tahoma"/>
            <family val="2"/>
          </rPr>
          <t>Informar o valor mensal de higienização de uniforme para 1 funcionário</t>
        </r>
      </text>
    </comment>
    <comment ref="D176" authorId="0">
      <text>
        <r>
          <rPr>
            <sz val="9"/>
            <color indexed="81"/>
            <rFont val="Tahoma"/>
            <family val="2"/>
          </rPr>
          <t>Informar o preço unitário do chassis do caminhão de coleta</t>
        </r>
      </text>
    </comment>
    <comment ref="C177" authorId="0">
      <text>
        <r>
          <rPr>
            <sz val="9"/>
            <color indexed="81"/>
            <rFont val="Tahoma"/>
            <family val="2"/>
          </rPr>
          <t>Informar a vida útil estimada para o caminhão, em anos</t>
        </r>
      </text>
    </comment>
    <comment ref="C178" authorId="0">
      <text>
        <r>
          <rPr>
            <sz val="9"/>
            <color indexed="81"/>
            <rFont val="Tahoma"/>
            <family val="2"/>
          </rPr>
          <t>Na elaboração do orçamento-base da licitação, informar 0 (zero). Na proposta da licitante, informar a idade do veículo proposto.</t>
        </r>
      </text>
    </comment>
    <comment ref="C179" authorId="0">
      <text>
        <r>
          <rPr>
            <b/>
            <sz val="9"/>
            <color indexed="81"/>
            <rFont val="Tahoma"/>
            <family val="2"/>
          </rPr>
          <t xml:space="preserve">Informar o valor da depreciação do caminhão, adotando o valor sugerido pelo TCE ou outro valor estimado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81" authorId="0">
      <text>
        <r>
          <rPr>
            <sz val="9"/>
            <color indexed="81"/>
            <rFont val="Tahoma"/>
            <family val="2"/>
          </rPr>
          <t xml:space="preserve">Informar o preço unitário do equipamento compactador
</t>
        </r>
      </text>
    </comment>
    <comment ref="C182" authorId="0">
      <text>
        <r>
          <rPr>
            <sz val="9"/>
            <color indexed="81"/>
            <rFont val="Tahoma"/>
            <family val="2"/>
          </rPr>
          <t>Informar a vida útil estimada para o compactador, em anos</t>
        </r>
      </text>
    </comment>
    <comment ref="C183" authorId="0">
      <text>
        <r>
          <rPr>
            <sz val="9"/>
            <color indexed="81"/>
            <rFont val="Tahoma"/>
            <family val="2"/>
          </rPr>
          <t>Na elaboração do orçamento-base da licitação, informar 0 (zero). Na proposta da licitante, informar a idade do compactador proposto.</t>
        </r>
      </text>
    </comment>
    <comment ref="C184" authorId="0">
      <text>
        <r>
          <rPr>
            <b/>
            <sz val="9"/>
            <color indexed="81"/>
            <rFont val="Tahoma"/>
            <family val="2"/>
          </rPr>
          <t xml:space="preserve">Informar o valor da depreciação do compactador, adotando o valor sugerido pelo TCE ou outro valor estimado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87" authorId="0">
      <text>
        <r>
          <rPr>
            <sz val="9"/>
            <color indexed="81"/>
            <rFont val="Tahoma"/>
            <family val="2"/>
          </rPr>
          <t>Informar a quantidade de caminhões compactadores do respectivo modelo</t>
        </r>
      </text>
    </comment>
    <comment ref="C193" authorId="0">
      <text>
        <r>
          <rPr>
            <b/>
            <sz val="9"/>
            <color indexed="81"/>
            <rFont val="Tahoma"/>
            <family val="2"/>
          </rPr>
          <t>Informar a taxa de juros anual para remuneração do capital. Recomenda-se o uso da Taxa SELIC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09" authorId="0">
      <text>
        <r>
          <rPr>
            <sz val="9"/>
            <color indexed="81"/>
            <rFont val="Tahoma"/>
            <family val="2"/>
          </rPr>
          <t xml:space="preserve">Informar o valor do seguro obrigatório e licenciamento anual de um caminhão
</t>
        </r>
      </text>
    </comment>
    <comment ref="D210" authorId="0">
      <text>
        <r>
          <rPr>
            <sz val="9"/>
            <color indexed="81"/>
            <rFont val="Tahoma"/>
            <family val="2"/>
          </rPr>
          <t xml:space="preserve">Informar o valor do seguro contra terceiros de um caminhão, se houver previsão no Projeto Básico
</t>
        </r>
      </text>
    </comment>
    <comment ref="B216" authorId="0">
      <text>
        <r>
          <rPr>
            <sz val="9"/>
            <color indexed="81"/>
            <rFont val="Tahoma"/>
            <family val="2"/>
          </rPr>
          <t xml:space="preserve">Informar a quilometragem mensal percorrida, de acordo com o projeto básico
</t>
        </r>
      </text>
    </comment>
    <comment ref="C219" authorId="0">
      <text>
        <r>
          <rPr>
            <sz val="9"/>
            <color indexed="81"/>
            <rFont val="Tahoma"/>
            <family val="2"/>
          </rPr>
          <t>Informar o consumo estimado do veículo em km/l</t>
        </r>
      </text>
    </comment>
    <comment ref="D219" authorId="0">
      <text>
        <r>
          <rPr>
            <sz val="9"/>
            <color indexed="81"/>
            <rFont val="Tahoma"/>
            <family val="2"/>
          </rPr>
          <t xml:space="preserve">Informar o preço unitário do combustivel
</t>
        </r>
      </text>
    </comment>
    <comment ref="C221" authorId="0">
      <text>
        <r>
          <rPr>
            <sz val="9"/>
            <color indexed="81"/>
            <rFont val="Tahoma"/>
            <family val="2"/>
          </rPr>
          <t>Informar o consumo de óleo do motor a cada 1000km</t>
        </r>
      </text>
    </comment>
    <comment ref="D221" authorId="0">
      <text>
        <r>
          <rPr>
            <sz val="9"/>
            <color indexed="81"/>
            <rFont val="Tahoma"/>
            <family val="2"/>
          </rPr>
          <t xml:space="preserve">Informar o preço unitário do litro do óleo do motor
</t>
        </r>
      </text>
    </comment>
    <comment ref="C223" authorId="0">
      <text>
        <r>
          <rPr>
            <sz val="9"/>
            <color indexed="81"/>
            <rFont val="Tahoma"/>
            <family val="2"/>
          </rPr>
          <t>Informar o consumo de óleo da transmissão a cada 1000km</t>
        </r>
      </text>
    </comment>
    <comment ref="D223" authorId="0">
      <text>
        <r>
          <rPr>
            <sz val="9"/>
            <color indexed="81"/>
            <rFont val="Tahoma"/>
            <family val="2"/>
          </rPr>
          <t xml:space="preserve">Informar o preço unitário do litro do óleo da transmissão
</t>
        </r>
      </text>
    </comment>
    <comment ref="C225" authorId="0">
      <text>
        <r>
          <rPr>
            <sz val="9"/>
            <color indexed="81"/>
            <rFont val="Tahoma"/>
            <family val="2"/>
          </rPr>
          <t>Informar o consumo de óleo hidráulico a cada 1000km</t>
        </r>
      </text>
    </comment>
    <comment ref="D225" authorId="0">
      <text>
        <r>
          <rPr>
            <sz val="9"/>
            <color indexed="81"/>
            <rFont val="Tahoma"/>
            <family val="2"/>
          </rPr>
          <t xml:space="preserve">Informar o preço unitário do litro do óleo hidráulico
</t>
        </r>
      </text>
    </comment>
    <comment ref="C227" authorId="0">
      <text>
        <r>
          <rPr>
            <sz val="9"/>
            <color indexed="81"/>
            <rFont val="Tahoma"/>
            <family val="2"/>
          </rPr>
          <t>Informar o consumo de graxa a cada 1000km</t>
        </r>
      </text>
    </comment>
    <comment ref="D227" authorId="0">
      <text>
        <r>
          <rPr>
            <sz val="9"/>
            <color indexed="81"/>
            <rFont val="Tahoma"/>
            <family val="2"/>
          </rPr>
          <t xml:space="preserve">Informar o preço unitário do litro da graxa
</t>
        </r>
      </text>
    </comment>
    <comment ref="D234" authorId="0">
      <text>
        <r>
          <rPr>
            <sz val="9"/>
            <color indexed="81"/>
            <rFont val="Tahoma"/>
            <family val="2"/>
          </rPr>
          <t xml:space="preserve">Informar o custo de manutenção em R$/km rodado
</t>
        </r>
      </text>
    </comment>
    <comment ref="C239" authorId="0">
      <text>
        <r>
          <rPr>
            <sz val="9"/>
            <color indexed="81"/>
            <rFont val="Tahoma"/>
            <family val="2"/>
          </rPr>
          <t>Informar a quantidade de pneus novos de 1 caminhão</t>
        </r>
      </text>
    </comment>
    <comment ref="D239" authorId="0">
      <text>
        <r>
          <rPr>
            <sz val="9"/>
            <color indexed="81"/>
            <rFont val="Tahoma"/>
            <family val="2"/>
          </rPr>
          <t xml:space="preserve">Informar o preço unitário de cada pneu
</t>
        </r>
      </text>
    </comment>
    <comment ref="C240" authorId="0">
      <text>
        <r>
          <rPr>
            <sz val="9"/>
            <color indexed="81"/>
            <rFont val="Tahoma"/>
            <family val="2"/>
          </rPr>
          <t>Informar o número de recapagens por pneu</t>
        </r>
      </text>
    </comment>
    <comment ref="D241" authorId="0">
      <text>
        <r>
          <rPr>
            <sz val="9"/>
            <color indexed="81"/>
            <rFont val="Tahoma"/>
            <family val="2"/>
          </rPr>
          <t xml:space="preserve">Informar o preço unitário de cada recapagem
</t>
        </r>
      </text>
    </comment>
    <comment ref="C242" authorId="0">
      <text>
        <r>
          <rPr>
            <sz val="9"/>
            <color indexed="81"/>
            <rFont val="Tahoma"/>
            <family val="2"/>
          </rPr>
          <t xml:space="preserve">Informar a durabilidade média dos pneus considerando todas as recapagens, em km
</t>
        </r>
      </text>
    </comment>
    <comment ref="C252" authorId="0">
      <text>
        <r>
          <rPr>
            <sz val="9"/>
            <color indexed="81"/>
            <rFont val="Tahoma"/>
            <family val="2"/>
          </rPr>
          <t xml:space="preserve">Informar a quantidade estimada por mês. Por exemplo, se a durabilidade estimada é de 6 meses, informar 1/6; se a durabilidade estimada é de 3 meses informar 1/3, etc..
</t>
        </r>
      </text>
    </comment>
    <comment ref="D252" authorId="0">
      <text>
        <r>
          <rPr>
            <sz val="9"/>
            <color indexed="81"/>
            <rFont val="Tahoma"/>
            <family val="2"/>
          </rPr>
          <t>Informar o valor unitário estimado para aquisição de cada material</t>
        </r>
      </text>
    </comment>
    <comment ref="C253" authorId="0">
      <text>
        <r>
          <rPr>
            <sz val="9"/>
            <color indexed="81"/>
            <rFont val="Tahoma"/>
            <family val="2"/>
          </rPr>
          <t xml:space="preserve">Informar a quantidade estimada por mês. Por exemplo, se a durabilidade estimada é de 6 meses, informar 1/6; se a durabilidade estimada é de 3 meses informar 1/3, etc..
</t>
        </r>
      </text>
    </comment>
    <comment ref="D253" authorId="0">
      <text>
        <r>
          <rPr>
            <sz val="9"/>
            <color indexed="81"/>
            <rFont val="Tahoma"/>
            <family val="2"/>
          </rPr>
          <t>Informar o valor unitário estimado para aquisição de cada material</t>
        </r>
      </text>
    </comment>
    <comment ref="C254" authorId="0">
      <text>
        <r>
          <rPr>
            <sz val="9"/>
            <color indexed="81"/>
            <rFont val="Tahoma"/>
            <family val="2"/>
          </rPr>
          <t xml:space="preserve">Informar a quantidade estimada por mês. Por exemplo, se a durabilidade estimada é de 6 meses, informar 1/6; se a durabilidade estimada é de 3 meses informar 1/3, etc..
</t>
        </r>
      </text>
    </comment>
    <comment ref="D254" authorId="0">
      <text>
        <r>
          <rPr>
            <sz val="9"/>
            <color indexed="81"/>
            <rFont val="Tahoma"/>
            <family val="2"/>
          </rPr>
          <t>Informar o valor unitário estimado para aquisição de cada material</t>
        </r>
      </text>
    </comment>
    <comment ref="C255" authorId="0">
      <text>
        <r>
          <rPr>
            <sz val="9"/>
            <color indexed="81"/>
            <rFont val="Tahoma"/>
            <family val="2"/>
          </rPr>
          <t xml:space="preserve">Informar a quantidade estimada por mês. Por exemplo, se a durabilidade estimada é de 6 meses, informar 1/6; se a durabilidade estimada é de 3 meses informar 1/3, etc..
</t>
        </r>
      </text>
    </comment>
    <comment ref="D255" authorId="0">
      <text>
        <r>
          <rPr>
            <sz val="9"/>
            <color indexed="81"/>
            <rFont val="Tahoma"/>
            <family val="2"/>
          </rPr>
          <t>Informar o valor unitário estimado para aquisição de cada material</t>
        </r>
      </text>
    </comment>
    <comment ref="C256" authorId="0">
      <text>
        <r>
          <rPr>
            <sz val="9"/>
            <color indexed="81"/>
            <rFont val="Tahoma"/>
            <family val="2"/>
          </rPr>
          <t xml:space="preserve">Informar a quantidade estimada por mês. Por exemplo, se a durabilidade estimada é de 6 meses, informar 1/6; se a durabilidade estimada é de 3 meses informar 1/3, etc..
</t>
        </r>
      </text>
    </comment>
    <comment ref="D256" authorId="0">
      <text>
        <r>
          <rPr>
            <sz val="9"/>
            <color indexed="81"/>
            <rFont val="Tahoma"/>
            <family val="2"/>
          </rPr>
          <t>Informar o valor unitário estimado para aquisição de cada material</t>
        </r>
      </text>
    </comment>
    <comment ref="A261" authorId="0">
      <text>
        <r>
          <rPr>
            <b/>
            <sz val="9"/>
            <color indexed="81"/>
            <rFont val="Tahoma"/>
            <family val="2"/>
          </rPr>
          <t>Especificar somente quando for exigido no Projeto Básico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64" authorId="0">
      <text>
        <r>
          <rPr>
            <sz val="9"/>
            <color indexed="81"/>
            <rFont val="Tahoma"/>
            <family val="2"/>
          </rPr>
          <t>Informar o valor total para instalação do equipamento de monitoramento da frota, se houver previsão no Projeto Básico</t>
        </r>
      </text>
    </comment>
    <comment ref="D266" authorId="0">
      <text>
        <r>
          <rPr>
            <sz val="9"/>
            <color indexed="81"/>
            <rFont val="Tahoma"/>
            <family val="2"/>
          </rPr>
          <t>Informar o valor unitário mensal para manutenção dos equipamentos de monitoramento</t>
        </r>
      </text>
    </comment>
    <comment ref="C278" authorId="0">
      <text>
        <r>
          <rPr>
            <sz val="9"/>
            <color indexed="81"/>
            <rFont val="Tahoma"/>
            <family val="2"/>
          </rPr>
          <t>Preencher a aba 4.BDI</t>
        </r>
      </text>
    </comment>
    <comment ref="D287" authorId="0">
      <text>
        <r>
          <rPr>
            <sz val="9"/>
            <color indexed="81"/>
            <rFont val="Tahoma"/>
            <family val="2"/>
          </rPr>
          <t xml:space="preserve">Informar a quantidade média coletada nos últimos 12 meses
</t>
        </r>
      </text>
    </comment>
  </commentList>
</comments>
</file>

<file path=xl/comments2.xml><?xml version="1.0" encoding="utf-8"?>
<comments xmlns="http://schemas.openxmlformats.org/spreadsheetml/2006/main">
  <authors>
    <author>Clauber Bridi</author>
  </authors>
  <commentList>
    <comment ref="C5" authorId="0">
      <text>
        <r>
          <rPr>
            <b/>
            <sz val="9"/>
            <color indexed="81"/>
            <rFont val="Tahoma"/>
            <family val="2"/>
          </rPr>
          <t>Informar o % de Administração Central estimado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6" authorId="0">
      <text>
        <r>
          <rPr>
            <b/>
            <sz val="9"/>
            <color indexed="81"/>
            <rFont val="Tahoma"/>
            <family val="2"/>
          </rPr>
          <t>Informar o % de Seguros, Riscos e Garantia estimado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7" authorId="0">
      <text>
        <r>
          <rPr>
            <b/>
            <sz val="9"/>
            <color indexed="81"/>
            <rFont val="Tahoma"/>
            <family val="2"/>
          </rPr>
          <t>Informar o % de Lucro estimado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8" authorId="0">
      <text>
        <r>
          <rPr>
            <b/>
            <sz val="9"/>
            <color indexed="81"/>
            <rFont val="Tahoma"/>
            <family val="2"/>
          </rPr>
          <t>Informar o valor anual da taxa financeira, em percentual. Admite-se utilizar a SELIC</t>
        </r>
      </text>
    </comment>
    <comment ref="C9" authorId="0">
      <text>
        <r>
          <rPr>
            <b/>
            <sz val="9"/>
            <color indexed="81"/>
            <rFont val="Tahoma"/>
            <family val="2"/>
          </rPr>
          <t>Informar o percentual de ISS, de acordo com a legislação tributária do município onde serão prestados os serviços. De 2% até o limite de 5%.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9" authorId="0">
      <text>
        <r>
          <rPr>
            <b/>
            <sz val="9"/>
            <color indexed="81"/>
            <rFont val="Tahoma"/>
            <family val="2"/>
          </rPr>
          <t>Informar a média de dias úteis entre data de pagamento prevista no contrato e a data final do período de adimplemento da parcela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0" authorId="0">
      <text>
        <r>
          <rPr>
            <b/>
            <sz val="9"/>
            <color indexed="81"/>
            <rFont val="Tahoma"/>
            <family val="2"/>
          </rPr>
          <t xml:space="preserve">Informar o valor estimado de PIS/COFINS. </t>
        </r>
        <r>
          <rPr>
            <sz val="9"/>
            <color indexed="81"/>
            <rFont val="Tahoma"/>
            <family val="2"/>
          </rPr>
          <t xml:space="preserve">
1. Adotar 0,65% PIS + 3% COFINS quando o valor anual estimado do contrato for inferior ao limite para tributação pelo regime de incidência não-cumulativa (lucro presumido);
2. Adotar 1,65% PIS + 7,6% COFINS quando o valor anual estimado do contrato for superior ao limite para tributação pelo regime de incidência não-cumulativa (lucro real);</t>
        </r>
      </text>
    </comment>
  </commentList>
</comments>
</file>

<file path=xl/comments3.xml><?xml version="1.0" encoding="utf-8"?>
<comments xmlns="http://schemas.openxmlformats.org/spreadsheetml/2006/main">
  <authors>
    <author>Omar</author>
  </authors>
  <commentList>
    <comment ref="C12" authorId="0">
      <text>
        <r>
          <rPr>
            <sz val="9"/>
            <color indexed="81"/>
            <rFont val="Tahoma"/>
            <family val="2"/>
          </rPr>
          <t>retorna a geração diária a ser recolhida</t>
        </r>
      </text>
    </comment>
  </commentList>
</comments>
</file>

<file path=xl/sharedStrings.xml><?xml version="1.0" encoding="utf-8"?>
<sst xmlns="http://schemas.openxmlformats.org/spreadsheetml/2006/main" count="567" uniqueCount="304">
  <si>
    <t>hora</t>
  </si>
  <si>
    <t>Adicional de Insalubridade</t>
  </si>
  <si>
    <t>%</t>
  </si>
  <si>
    <t>Soma</t>
  </si>
  <si>
    <t>Encargos Sociais</t>
  </si>
  <si>
    <t>Total do Efetivo</t>
  </si>
  <si>
    <t>homem</t>
  </si>
  <si>
    <t>Adicional Noturno</t>
  </si>
  <si>
    <t>mês</t>
  </si>
  <si>
    <t>vale</t>
  </si>
  <si>
    <t>unidade</t>
  </si>
  <si>
    <t>Colete reflexivo</t>
  </si>
  <si>
    <t>IPVA</t>
  </si>
  <si>
    <t>Seguro contra terceiros</t>
  </si>
  <si>
    <t>Impostos e seguros mensais</t>
  </si>
  <si>
    <t>Custo de óleo diesel / km rodado</t>
  </si>
  <si>
    <t>km/l</t>
  </si>
  <si>
    <t>Custo mensal com óleo diesel</t>
  </si>
  <si>
    <t>km</t>
  </si>
  <si>
    <t>l/1.000 km</t>
  </si>
  <si>
    <t>Custo mensal com óleo do motor</t>
  </si>
  <si>
    <t>Custo mensal com óleo da transmissão</t>
  </si>
  <si>
    <t>Custo mensal com óleo hidráulico</t>
  </si>
  <si>
    <t>Custo de graxa /1.000 km rodados</t>
  </si>
  <si>
    <t>kg/1.000 km</t>
  </si>
  <si>
    <t>Custo mensal com graxa</t>
  </si>
  <si>
    <t>km/jogo</t>
  </si>
  <si>
    <t>toneladas</t>
  </si>
  <si>
    <t>Pá de Concha</t>
  </si>
  <si>
    <t>Vassoura</t>
  </si>
  <si>
    <t>Calça</t>
  </si>
  <si>
    <t>Camiseta</t>
  </si>
  <si>
    <t>Boné</t>
  </si>
  <si>
    <t>Luva de proteção</t>
  </si>
  <si>
    <t>R$/tonelada</t>
  </si>
  <si>
    <t>R$</t>
  </si>
  <si>
    <t>Horas Extras (100%)</t>
  </si>
  <si>
    <t>Horas Extras (50%)</t>
  </si>
  <si>
    <t>Benefícios e despesas indiretas</t>
  </si>
  <si>
    <t>Custo mensal com manutenção</t>
  </si>
  <si>
    <t>Custo (R$/mês)</t>
  </si>
  <si>
    <t>Mão-de-obra</t>
  </si>
  <si>
    <t>Quantidade</t>
  </si>
  <si>
    <t>INSS</t>
  </si>
  <si>
    <t>FGTS</t>
  </si>
  <si>
    <t>Planilha de Composição de Custos</t>
  </si>
  <si>
    <t>Motorista</t>
  </si>
  <si>
    <t>2. Uniformes e Equipamentos de Proteção Individual</t>
  </si>
  <si>
    <t>3.1.1. Depreciação</t>
  </si>
  <si>
    <t>1. Mão-de-obra</t>
  </si>
  <si>
    <t>par</t>
  </si>
  <si>
    <t>frasco 120g</t>
  </si>
  <si>
    <t>Depreciação mensal veículos coletores</t>
  </si>
  <si>
    <t>3.1.3. Impostos e Seguros</t>
  </si>
  <si>
    <t>3.1.4. Consumos</t>
  </si>
  <si>
    <t>3.1.5. Manutenção</t>
  </si>
  <si>
    <t>3. Veículos e Equipamentos</t>
  </si>
  <si>
    <t>Veículos e Equipamentos</t>
  </si>
  <si>
    <t>Publicidade (adesivos equipamentos)</t>
  </si>
  <si>
    <t>cj</t>
  </si>
  <si>
    <t>Total de mão-de-obra (postos de trabalho)</t>
  </si>
  <si>
    <t>Publicidade (adesivos veículos)</t>
  </si>
  <si>
    <t>Custo mensal com implantação</t>
  </si>
  <si>
    <t>3.1.6. Pneus</t>
  </si>
  <si>
    <t>Protetor solar FPS 30</t>
  </si>
  <si>
    <t>Discriminação</t>
  </si>
  <si>
    <t>Unidade</t>
  </si>
  <si>
    <t>Subtotal</t>
  </si>
  <si>
    <r>
      <t xml:space="preserve">Total </t>
    </r>
    <r>
      <rPr>
        <b/>
        <u/>
        <sz val="9"/>
        <rFont val="Arial"/>
        <family val="2"/>
      </rPr>
      <t>(R$)</t>
    </r>
  </si>
  <si>
    <t>Jaqueta com reflexivo (NBR 15.292)</t>
  </si>
  <si>
    <t>Capa de chuva amarela com reflexivo</t>
  </si>
  <si>
    <t>Botina de segurança c/ palmilha aço</t>
  </si>
  <si>
    <t>PREÇO POR TONELADA COLETADA:  [A/B]</t>
  </si>
  <si>
    <t>Custo de recapagem</t>
  </si>
  <si>
    <t>Recipiente térmico para água (5L)</t>
  </si>
  <si>
    <t>Total por Coletor</t>
  </si>
  <si>
    <t>Coletor</t>
  </si>
  <si>
    <t>4. Ferramentas e Materiais de Consumo</t>
  </si>
  <si>
    <t>5. Monitoramento da Frota</t>
  </si>
  <si>
    <t>Administração Central</t>
  </si>
  <si>
    <t>AC</t>
  </si>
  <si>
    <t>Seguros/Riscos/Garantias</t>
  </si>
  <si>
    <t>SRG</t>
  </si>
  <si>
    <t>Lucro</t>
  </si>
  <si>
    <t>L</t>
  </si>
  <si>
    <t>Despesas Financeiras</t>
  </si>
  <si>
    <t>DF</t>
  </si>
  <si>
    <t>Tributos - ISS</t>
  </si>
  <si>
    <t>T</t>
  </si>
  <si>
    <t>Tributos - PIS/COFINS</t>
  </si>
  <si>
    <t>Fórmula para o cálculo do BDI:</t>
  </si>
  <si>
    <t>{[(1+AC+SRG) x (1+L) x (1+DF)] / (1-T)} -1</t>
  </si>
  <si>
    <t>Resultado do cálculo do BDI:</t>
  </si>
  <si>
    <t>1.2. Coletor Turno Noite</t>
  </si>
  <si>
    <t>Vale Transporte</t>
  </si>
  <si>
    <t>Dias Trabalhados por mês</t>
  </si>
  <si>
    <t>dia</t>
  </si>
  <si>
    <t>Custo Mensal com Mão-de-obra (R$/mês)</t>
  </si>
  <si>
    <t>Meia de algodão com cano alto</t>
  </si>
  <si>
    <r>
      <t>3.1. Veículo Coletor Compactador</t>
    </r>
    <r>
      <rPr>
        <sz val="10"/>
        <color indexed="10"/>
        <rFont val="Arial"/>
        <family val="2"/>
      </rPr>
      <t xml:space="preserve"> xx</t>
    </r>
    <r>
      <rPr>
        <sz val="10"/>
        <rFont val="Arial"/>
        <family val="2"/>
      </rPr>
      <t xml:space="preserve"> m³</t>
    </r>
  </si>
  <si>
    <t>Quantitativos</t>
  </si>
  <si>
    <t>horas trabalhadas</t>
  </si>
  <si>
    <t>Horas Extras Noturnas (100%)</t>
  </si>
  <si>
    <t>1.1. Coletor Turno Dia</t>
  </si>
  <si>
    <t>1.3. Motorista Turno do Dia</t>
  </si>
  <si>
    <t>1.4. Motorista Turno Noite</t>
  </si>
  <si>
    <t>hora contabilizada</t>
  </si>
  <si>
    <t>1.5. Vale Transporte</t>
  </si>
  <si>
    <t>Vida útil do chassis</t>
  </si>
  <si>
    <t>anos</t>
  </si>
  <si>
    <t>Vida útil do compactador</t>
  </si>
  <si>
    <t>Depreciação do compactador</t>
  </si>
  <si>
    <t>Depreciação do chassis</t>
  </si>
  <si>
    <t>Custo de aquisição do compactador</t>
  </si>
  <si>
    <t>Custo de aquisição do chassis</t>
  </si>
  <si>
    <t>Depreciação mensal do compactador</t>
  </si>
  <si>
    <t>i = taxa de juros do mercado (sugere-se adotar a taxa SELIC)</t>
  </si>
  <si>
    <t>n = vida útil do bem em anos</t>
  </si>
  <si>
    <t>Custo do chassis</t>
  </si>
  <si>
    <t>Custo do compactador</t>
  </si>
  <si>
    <t>3.1.2. Remuneração do Capital</t>
  </si>
  <si>
    <t>Im = investimento médio</t>
  </si>
  <si>
    <t>Remuneração mensal de capital do compactador</t>
  </si>
  <si>
    <t>Investimento médio total do chassis</t>
  </si>
  <si>
    <t>Remuneração mensal de capital do chassis</t>
  </si>
  <si>
    <t>Investimento médio total do compactador</t>
  </si>
  <si>
    <t>Custo de manutenção dos caminhões</t>
  </si>
  <si>
    <t>Quilometragem mensal</t>
  </si>
  <si>
    <t>R$/km rodado</t>
  </si>
  <si>
    <t>Número de recapagens por pneu</t>
  </si>
  <si>
    <t>1.6. Vale-refeição (diário)</t>
  </si>
  <si>
    <t>1.7. Auxílio Alimentação (mensal)</t>
  </si>
  <si>
    <t>R$ mensal</t>
  </si>
  <si>
    <t>Admissões</t>
  </si>
  <si>
    <t>Desligamentos</t>
  </si>
  <si>
    <t>Dispensados com justa causa</t>
  </si>
  <si>
    <t>Dispensados sem justa causa</t>
  </si>
  <si>
    <t>Espontâneos</t>
  </si>
  <si>
    <t>Fim de contrato por prazo determinado</t>
  </si>
  <si>
    <t>Término de contrato</t>
  </si>
  <si>
    <t>Aposentados</t>
  </si>
  <si>
    <t>Mortos</t>
  </si>
  <si>
    <t>Transferência de saída</t>
  </si>
  <si>
    <t xml:space="preserve"> </t>
  </si>
  <si>
    <t>Indicadores</t>
  </si>
  <si>
    <t>Dias ano</t>
  </si>
  <si>
    <t>Estoque Médio</t>
  </si>
  <si>
    <t>Multa FGTS</t>
  </si>
  <si>
    <t>Dias de Aviso prévio</t>
  </si>
  <si>
    <t>Código</t>
  </si>
  <si>
    <t>Descrição</t>
  </si>
  <si>
    <t>Valor</t>
  </si>
  <si>
    <t>A1</t>
  </si>
  <si>
    <t>A2</t>
  </si>
  <si>
    <t>SESI</t>
  </si>
  <si>
    <t>A3</t>
  </si>
  <si>
    <t>SENAI</t>
  </si>
  <si>
    <t>A4</t>
  </si>
  <si>
    <t>INCRA</t>
  </si>
  <si>
    <t>A5</t>
  </si>
  <si>
    <t>SEBRAE</t>
  </si>
  <si>
    <t>A6</t>
  </si>
  <si>
    <t>Salário educação</t>
  </si>
  <si>
    <t>A7</t>
  </si>
  <si>
    <t>Seguro contra acidentes de trabalho</t>
  </si>
  <si>
    <t>A8</t>
  </si>
  <si>
    <t>A</t>
  </si>
  <si>
    <t>SOMA GRUPO A</t>
  </si>
  <si>
    <t>B1</t>
  </si>
  <si>
    <t>Férias gozadas</t>
  </si>
  <si>
    <t>B2</t>
  </si>
  <si>
    <t>13º salário</t>
  </si>
  <si>
    <t>B4</t>
  </si>
  <si>
    <t>Licença Paternidade</t>
  </si>
  <si>
    <t>B5</t>
  </si>
  <si>
    <t>Faltas justificadas</t>
  </si>
  <si>
    <t>B6</t>
  </si>
  <si>
    <t>Auxilio acidente de trabalho</t>
  </si>
  <si>
    <t>Auxilio doença</t>
  </si>
  <si>
    <t>B</t>
  </si>
  <si>
    <t>SOMA GRUPO B</t>
  </si>
  <si>
    <t>C1</t>
  </si>
  <si>
    <t>Aviso prévio indenizado</t>
  </si>
  <si>
    <t>C3</t>
  </si>
  <si>
    <t xml:space="preserve">Férias indenizadas </t>
  </si>
  <si>
    <t>C4</t>
  </si>
  <si>
    <t>Férias indenizadas s/ aviso previo inden.</t>
  </si>
  <si>
    <t>C5</t>
  </si>
  <si>
    <t>Depósito rescisão sem justa causa</t>
  </si>
  <si>
    <t>Indenização adicional</t>
  </si>
  <si>
    <t>C</t>
  </si>
  <si>
    <t>SOMA GRUPO C</t>
  </si>
  <si>
    <t>D1</t>
  </si>
  <si>
    <t>Reincidência de Grupo A sobre Grupo B</t>
  </si>
  <si>
    <t>D2</t>
  </si>
  <si>
    <t>D</t>
  </si>
  <si>
    <t>SOMA GRUPO D</t>
  </si>
  <si>
    <t>SOMA (A+B+C+D)</t>
  </si>
  <si>
    <t>1° Quartil</t>
  </si>
  <si>
    <t>Médio</t>
  </si>
  <si>
    <t>3° Quartil</t>
  </si>
  <si>
    <t>DU</t>
  </si>
  <si>
    <t>Licenciamento e Seguro obrigatório</t>
  </si>
  <si>
    <t>Fator de utilização</t>
  </si>
  <si>
    <t>Fator de utilização (FU)</t>
  </si>
  <si>
    <t>2.1. Uniformes e EPIs para Coletor</t>
  </si>
  <si>
    <t>Higienização de uniformes e EPIs</t>
  </si>
  <si>
    <t>2.2. Uniformes e EPIs para demais categorias</t>
  </si>
  <si>
    <t>Custo Mensal com Uniformes e EPIs (R$/mês)</t>
  </si>
  <si>
    <t>Descrição do Item</t>
  </si>
  <si>
    <t>Orçamento Sintético</t>
  </si>
  <si>
    <t>Orientações para preenchimento:</t>
  </si>
  <si>
    <t>Rio Grande do Sul  - Coleta de Resíduos Não-Perigosos - CNAE 38114</t>
  </si>
  <si>
    <t>Idade do veículo (ano)</t>
  </si>
  <si>
    <t>Idade do veículo</t>
  </si>
  <si>
    <t>Idade do compactador</t>
  </si>
  <si>
    <t>Valor do veículo proposto (V0)</t>
  </si>
  <si>
    <t>Valor do compactador proposto (V0)</t>
  </si>
  <si>
    <t>Taxa de juros anual nominal</t>
  </si>
  <si>
    <t>Piso da categoria</t>
  </si>
  <si>
    <t>Base de cálculo da Insalubridade</t>
  </si>
  <si>
    <t>Horas Extras Noturnas (50%)</t>
  </si>
  <si>
    <t>Descanso Semanal Remunerado (DSR) - hora extra</t>
  </si>
  <si>
    <t>C2</t>
  </si>
  <si>
    <t>B3</t>
  </si>
  <si>
    <t xml:space="preserve">1. Coleta de Resíduos Sólidos </t>
  </si>
  <si>
    <t>Custo Mensal com Monitoramento da Frota (R$/mês)</t>
  </si>
  <si>
    <t>Implantação dos equipamentos de monitoramento</t>
  </si>
  <si>
    <t>Manutenção dos equipamentos de monitoramento</t>
  </si>
  <si>
    <t>Custo Mensal com Veículos e Equipamentos (R$/mês)</t>
  </si>
  <si>
    <t>Custo Mensal com Ferramentas e Materiais de Consumo (R$/mês)</t>
  </si>
  <si>
    <t>CUSTO TOTAL MENSAL COM DESPESAS OPERACIONAIS (R$/mês)</t>
  </si>
  <si>
    <t>PREÇO MENSAL TOTAL (R$/mês)</t>
  </si>
  <si>
    <t>3. CAGED</t>
  </si>
  <si>
    <t>4. Composição do BDI - Benefícios e Despesas Indiretas</t>
  </si>
  <si>
    <t xml:space="preserve">2. Composição dos Encargos Sociais </t>
  </si>
  <si>
    <t>5. Depreciação Referencial TCE/RS (%)</t>
  </si>
  <si>
    <r>
      <t>J</t>
    </r>
    <r>
      <rPr>
        <vertAlign val="subscript"/>
        <sz val="12"/>
        <color indexed="8"/>
        <rFont val="Arial"/>
        <family val="2"/>
      </rPr>
      <t>m</t>
    </r>
    <r>
      <rPr>
        <sz val="12"/>
        <color indexed="8"/>
        <rFont val="Arial"/>
        <family val="2"/>
      </rPr>
      <t xml:space="preserve"> = remuneração de capital mensal</t>
    </r>
  </si>
  <si>
    <r>
      <t>V</t>
    </r>
    <r>
      <rPr>
        <vertAlign val="subscript"/>
        <sz val="12"/>
        <color indexed="8"/>
        <rFont val="Arial"/>
        <family val="2"/>
      </rPr>
      <t>0</t>
    </r>
    <r>
      <rPr>
        <sz val="12"/>
        <color indexed="8"/>
        <rFont val="Arial"/>
        <family val="2"/>
      </rPr>
      <t xml:space="preserve"> = valor inicial do bem</t>
    </r>
  </si>
  <si>
    <r>
      <t>V</t>
    </r>
    <r>
      <rPr>
        <vertAlign val="subscript"/>
        <sz val="12"/>
        <color indexed="8"/>
        <rFont val="Arial"/>
        <family val="2"/>
      </rPr>
      <t>r</t>
    </r>
    <r>
      <rPr>
        <sz val="12"/>
        <color indexed="8"/>
        <rFont val="Arial"/>
        <family val="2"/>
      </rPr>
      <t xml:space="preserve"> = valor residual do bem</t>
    </r>
  </si>
  <si>
    <t>6. Remuneração de Capital</t>
  </si>
  <si>
    <t>Custo unitário</t>
  </si>
  <si>
    <t>Custo de óleo do motor /1.000 km rodados</t>
  </si>
  <si>
    <t>Custo de óleo da transmissão /1.000 km</t>
  </si>
  <si>
    <t>Custo de óleo hidráulico / 1.000 km</t>
  </si>
  <si>
    <t>PREÇO TOTAL MENSAL COM A COLETA</t>
  </si>
  <si>
    <t>CUSTO MENSAL COM BDI (R$/mês)</t>
  </si>
  <si>
    <t>1/3 de férias (dias)</t>
  </si>
  <si>
    <t>Férias (dias)</t>
  </si>
  <si>
    <t>13º Salário (dias)</t>
  </si>
  <si>
    <t>Referência estudo TCE</t>
  </si>
  <si>
    <t>Rotatividade temporal (meses)</t>
  </si>
  <si>
    <t>Fórmula de cálculo da remuneração de capital:</t>
  </si>
  <si>
    <t>Total por Motorista</t>
  </si>
  <si>
    <t>Durabilidade (meses)</t>
  </si>
  <si>
    <t>Custo com consumos/km rodado</t>
  </si>
  <si>
    <t>Consumo</t>
  </si>
  <si>
    <t>Total por veículo</t>
  </si>
  <si>
    <t>Total da frota</t>
  </si>
  <si>
    <t>1. Esta planilha é somente um modelo de cálculo expedito e deve ser ajustada conforme cada caso concreto.</t>
  </si>
  <si>
    <t>Unid</t>
  </si>
  <si>
    <t>hab</t>
  </si>
  <si>
    <t>ton</t>
  </si>
  <si>
    <t>Densidade RSU compactado</t>
  </si>
  <si>
    <t>Kg/m³</t>
  </si>
  <si>
    <t>m³</t>
  </si>
  <si>
    <t>Kg/hab.dia</t>
  </si>
  <si>
    <t>ton/dia</t>
  </si>
  <si>
    <t>População (H)</t>
  </si>
  <si>
    <t>Geração per capita (G)</t>
  </si>
  <si>
    <t>Geração total diária (Qd)</t>
  </si>
  <si>
    <t>Quantitativo diário de coleta (Qc)</t>
  </si>
  <si>
    <t>Número de dias de coleta por semana (Dc)</t>
  </si>
  <si>
    <t>Capacidade nominal de carga (Cc)</t>
  </si>
  <si>
    <t>Número de Cargas por dia (Nc)</t>
  </si>
  <si>
    <t>Número de veículos da Frota (F)</t>
  </si>
  <si>
    <t>Geração Mensal</t>
  </si>
  <si>
    <t>Tipo de Veículo (1 = toco, 2 = truck)</t>
  </si>
  <si>
    <t>Capacidade do Compactador</t>
  </si>
  <si>
    <t>7. Dimensionamento da frota</t>
  </si>
  <si>
    <t>Indicador</t>
  </si>
  <si>
    <t>Número total de percursos de coleta por veículo, por dia (Np)</t>
  </si>
  <si>
    <t>i</t>
  </si>
  <si>
    <t>3. Preencher somente células em amarelo</t>
  </si>
  <si>
    <t>Depreciação Média</t>
  </si>
  <si>
    <t>2. Dimensionar separadamente setores atendidos por veículos de capacidade de carga diferentes.</t>
  </si>
  <si>
    <t>Reincidência de FGTS sobre aviso prévio indenizado</t>
  </si>
  <si>
    <t>Piso da categoria (2)</t>
  </si>
  <si>
    <t>Salário mínimo nacional (1)</t>
  </si>
  <si>
    <t>O TCE/RS não se responsabiliza pelo uso incorreto desta planilha.</t>
  </si>
  <si>
    <t>% Demitidos s/ Justa Causa em relação ao Estoque Médio</t>
  </si>
  <si>
    <t>Taxa de Rotatividade</t>
  </si>
  <si>
    <t>Acordo</t>
  </si>
  <si>
    <t>Variação Emprego Absoluta de 01-01-2019 a 31-12-2019</t>
  </si>
  <si>
    <t>Estoque recuperado início do Período 01-01-2019</t>
  </si>
  <si>
    <t>Estoque recuperado final do Período 31-12-2019</t>
  </si>
  <si>
    <t>6.Custo Mensal com Destinação residuos (R$/mês)</t>
  </si>
  <si>
    <t>7. Benefícios e Despesas Indiretas - BDI</t>
  </si>
  <si>
    <t xml:space="preserve"> 6.Custo mensal com Destinação resíduos</t>
  </si>
  <si>
    <t xml:space="preserve">Quantidade média de resíduos coletados por mês (Seco e Orgânico): </t>
  </si>
  <si>
    <r>
      <t xml:space="preserve">Custo jg. compl. + </t>
    </r>
    <r>
      <rPr>
        <sz val="10"/>
        <rFont val="Arial"/>
        <family val="2"/>
      </rPr>
      <t>recap./ km rodado</t>
    </r>
  </si>
  <si>
    <t>Custo mensal com pneus (coleta até transbordo)</t>
  </si>
  <si>
    <t>Custo do jogo de pneus 275/80 R22,5</t>
  </si>
  <si>
    <t>* A multa do FGTS foi ajustado, de acordo com a nova Lei Federal nº 13.932/2019</t>
  </si>
</sst>
</file>

<file path=xl/styles.xml><?xml version="1.0" encoding="utf-8"?>
<styleSheet xmlns="http://schemas.openxmlformats.org/spreadsheetml/2006/main">
  <numFmts count="10">
    <numFmt numFmtId="43" formatCode="_-* #,##0.00_-;\-* #,##0.00_-;_-* &quot;-&quot;??_-;_-@_-"/>
    <numFmt numFmtId="164" formatCode="&quot;R$ &quot;#,##0.00_);\(&quot;R$ &quot;#,##0.00\)"/>
    <numFmt numFmtId="165" formatCode="_(* #,##0.00_);_(* \(#,##0.00\);_(* &quot;-&quot;??_);_(@_)"/>
    <numFmt numFmtId="166" formatCode="_(* #,##0_);_(* \(#,##0\);_(* &quot;-&quot;??_);_(@_)"/>
    <numFmt numFmtId="167" formatCode="_(* #,##0.000_);_(* \(#,##0.000\);_(* &quot;-&quot;??_);_(@_)"/>
    <numFmt numFmtId="168" formatCode="&quot;R$ &quot;#,##0.00"/>
    <numFmt numFmtId="169" formatCode="0.0000"/>
    <numFmt numFmtId="170" formatCode="_-* #,##0.000_-;\-* #,##0.000_-;_-* &quot;-&quot;??_-;_-@_-"/>
    <numFmt numFmtId="171" formatCode="_-* #,##0.00_-;\-* #,##0.00_-;_-* &quot;-&quot;?_-;_-@_-"/>
    <numFmt numFmtId="172" formatCode="_-* #,##0_-;\-* #,##0_-;_-* &quot;-&quot;?_-;_-@_-"/>
  </numFmts>
  <fonts count="29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sz val="9"/>
      <name val="Arial"/>
      <family val="2"/>
    </font>
    <font>
      <sz val="10"/>
      <color indexed="10"/>
      <name val="Arial"/>
      <family val="2"/>
    </font>
    <font>
      <i/>
      <sz val="10"/>
      <name val="Arial"/>
      <family val="2"/>
    </font>
    <font>
      <b/>
      <sz val="9"/>
      <name val="Arial"/>
      <family val="2"/>
    </font>
    <font>
      <b/>
      <u/>
      <sz val="9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4"/>
      <name val="Arial"/>
      <family val="2"/>
    </font>
    <font>
      <vertAlign val="subscript"/>
      <sz val="12"/>
      <color indexed="8"/>
      <name val="Arial"/>
      <family val="2"/>
    </font>
    <font>
      <sz val="12"/>
      <color indexed="8"/>
      <name val="Arial"/>
      <family val="2"/>
    </font>
    <font>
      <b/>
      <sz val="11"/>
      <color theme="1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sz val="11"/>
      <color theme="1"/>
      <name val="Arial"/>
      <family val="2"/>
    </font>
    <font>
      <sz val="10"/>
      <color rgb="FF000000"/>
      <name val="Arial"/>
      <family val="2"/>
    </font>
    <font>
      <sz val="13"/>
      <color theme="1"/>
      <name val="Arial"/>
      <family val="2"/>
    </font>
    <font>
      <sz val="10"/>
      <color theme="1"/>
      <name val="Arial"/>
      <family val="2"/>
    </font>
    <font>
      <sz val="12"/>
      <color theme="1"/>
      <name val="Arial"/>
      <family val="2"/>
    </font>
    <font>
      <b/>
      <sz val="12"/>
      <color rgb="FFFF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249977111117893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4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323">
    <xf numFmtId="0" fontId="0" fillId="0" borderId="0" xfId="0"/>
    <xf numFmtId="0" fontId="6" fillId="0" borderId="0" xfId="0" applyFont="1"/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0" fontId="0" fillId="0" borderId="0" xfId="0" applyAlignment="1">
      <alignment vertical="center"/>
    </xf>
    <xf numFmtId="4" fontId="0" fillId="0" borderId="0" xfId="0" applyNumberFormat="1" applyAlignment="1">
      <alignment vertical="center"/>
    </xf>
    <xf numFmtId="165" fontId="0" fillId="0" borderId="0" xfId="3" applyFont="1" applyAlignment="1">
      <alignment vertical="center"/>
    </xf>
    <xf numFmtId="0" fontId="1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165" fontId="6" fillId="0" borderId="0" xfId="3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165" fontId="6" fillId="0" borderId="2" xfId="3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165" fontId="6" fillId="0" borderId="1" xfId="3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165" fontId="6" fillId="0" borderId="0" xfId="3" applyFont="1" applyAlignment="1">
      <alignment horizontal="center" vertical="center"/>
    </xf>
    <xf numFmtId="165" fontId="3" fillId="2" borderId="3" xfId="3" applyFont="1" applyFill="1" applyBorder="1" applyAlignment="1">
      <alignment horizontal="center" vertical="center"/>
    </xf>
    <xf numFmtId="165" fontId="3" fillId="2" borderId="3" xfId="3" applyFont="1" applyFill="1" applyBorder="1" applyAlignment="1">
      <alignment vertical="center"/>
    </xf>
    <xf numFmtId="165" fontId="3" fillId="0" borderId="0" xfId="3" applyFont="1" applyFill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165" fontId="3" fillId="0" borderId="5" xfId="3" applyFont="1" applyBorder="1" applyAlignment="1">
      <alignment vertical="center"/>
    </xf>
    <xf numFmtId="165" fontId="3" fillId="0" borderId="6" xfId="3" applyFont="1" applyBorder="1" applyAlignment="1">
      <alignment vertical="center"/>
    </xf>
    <xf numFmtId="0" fontId="6" fillId="0" borderId="5" xfId="0" applyFont="1" applyBorder="1" applyAlignment="1">
      <alignment vertical="center"/>
    </xf>
    <xf numFmtId="165" fontId="6" fillId="0" borderId="5" xfId="3" applyFont="1" applyBorder="1" applyAlignment="1">
      <alignment vertical="center"/>
    </xf>
    <xf numFmtId="165" fontId="6" fillId="0" borderId="6" xfId="3" applyFont="1" applyBorder="1" applyAlignment="1">
      <alignment vertical="center"/>
    </xf>
    <xf numFmtId="165" fontId="3" fillId="0" borderId="0" xfId="3" applyFont="1" applyBorder="1" applyAlignment="1">
      <alignment horizontal="center" vertical="center"/>
    </xf>
    <xf numFmtId="3" fontId="6" fillId="0" borderId="0" xfId="0" applyNumberFormat="1" applyFont="1" applyAlignment="1">
      <alignment vertical="center"/>
    </xf>
    <xf numFmtId="165" fontId="3" fillId="0" borderId="0" xfId="3" applyFont="1" applyFill="1" applyBorder="1" applyAlignment="1">
      <alignment horizontal="center" vertical="center"/>
    </xf>
    <xf numFmtId="165" fontId="3" fillId="0" borderId="0" xfId="3" applyFont="1" applyBorder="1" applyAlignment="1">
      <alignment vertical="center"/>
    </xf>
    <xf numFmtId="165" fontId="5" fillId="0" borderId="0" xfId="3" applyFont="1" applyAlignment="1">
      <alignment vertical="center"/>
    </xf>
    <xf numFmtId="166" fontId="6" fillId="0" borderId="1" xfId="3" applyNumberFormat="1" applyFont="1" applyBorder="1" applyAlignment="1">
      <alignment vertical="center"/>
    </xf>
    <xf numFmtId="165" fontId="6" fillId="0" borderId="0" xfId="3" applyFont="1"/>
    <xf numFmtId="165" fontId="4" fillId="0" borderId="0" xfId="3" applyFont="1" applyAlignment="1">
      <alignment vertical="center"/>
    </xf>
    <xf numFmtId="165" fontId="0" fillId="0" borderId="7" xfId="3" applyFont="1" applyBorder="1" applyAlignment="1">
      <alignment vertical="center"/>
    </xf>
    <xf numFmtId="165" fontId="3" fillId="0" borderId="8" xfId="3" applyFont="1" applyBorder="1" applyAlignment="1">
      <alignment horizontal="center" vertical="center"/>
    </xf>
    <xf numFmtId="165" fontId="3" fillId="0" borderId="4" xfId="3" applyFont="1" applyBorder="1" applyAlignment="1">
      <alignment horizontal="left" vertical="center"/>
    </xf>
    <xf numFmtId="4" fontId="3" fillId="0" borderId="5" xfId="0" applyNumberFormat="1" applyFont="1" applyBorder="1" applyAlignment="1">
      <alignment horizontal="centerContinuous" vertical="center"/>
    </xf>
    <xf numFmtId="165" fontId="3" fillId="0" borderId="0" xfId="3" applyFont="1" applyAlignment="1">
      <alignment vertical="center"/>
    </xf>
    <xf numFmtId="165" fontId="0" fillId="0" borderId="9" xfId="0" applyNumberFormat="1" applyBorder="1" applyAlignment="1">
      <alignment vertical="center"/>
    </xf>
    <xf numFmtId="4" fontId="0" fillId="0" borderId="9" xfId="0" applyNumberFormat="1" applyBorder="1" applyAlignment="1">
      <alignment horizontal="centerContinuous" vertical="center"/>
    </xf>
    <xf numFmtId="165" fontId="0" fillId="0" borderId="9" xfId="3" applyFont="1" applyBorder="1" applyAlignment="1">
      <alignment vertical="center"/>
    </xf>
    <xf numFmtId="165" fontId="3" fillId="0" borderId="10" xfId="3" applyFont="1" applyBorder="1" applyAlignment="1">
      <alignment horizontal="right" vertical="center"/>
    </xf>
    <xf numFmtId="165" fontId="0" fillId="0" borderId="11" xfId="3" applyFont="1" applyBorder="1" applyAlignment="1">
      <alignment vertical="center"/>
    </xf>
    <xf numFmtId="165" fontId="6" fillId="0" borderId="1" xfId="3" applyFont="1" applyBorder="1" applyAlignment="1">
      <alignment vertical="center"/>
    </xf>
    <xf numFmtId="0" fontId="11" fillId="0" borderId="0" xfId="0" applyFont="1" applyAlignment="1">
      <alignment vertical="center"/>
    </xf>
    <xf numFmtId="0" fontId="10" fillId="0" borderId="1" xfId="0" applyFont="1" applyBorder="1" applyAlignment="1">
      <alignment horizontal="center" vertical="center"/>
    </xf>
    <xf numFmtId="165" fontId="6" fillId="0" borderId="0" xfId="3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165" fontId="4" fillId="0" borderId="0" xfId="3" applyFont="1" applyBorder="1" applyAlignment="1">
      <alignment vertical="center"/>
    </xf>
    <xf numFmtId="10" fontId="0" fillId="0" borderId="12" xfId="2" applyNumberFormat="1" applyFont="1" applyBorder="1" applyAlignment="1">
      <alignment vertical="center"/>
    </xf>
    <xf numFmtId="165" fontId="6" fillId="0" borderId="0" xfId="3" applyFont="1" applyBorder="1" applyAlignment="1">
      <alignment vertical="center"/>
    </xf>
    <xf numFmtId="0" fontId="13" fillId="2" borderId="13" xfId="0" applyFont="1" applyFill="1" applyBorder="1" applyAlignment="1">
      <alignment horizontal="center" vertical="center"/>
    </xf>
    <xf numFmtId="0" fontId="13" fillId="2" borderId="14" xfId="0" applyFont="1" applyFill="1" applyBorder="1" applyAlignment="1">
      <alignment horizontal="center" vertical="center"/>
    </xf>
    <xf numFmtId="165" fontId="13" fillId="2" borderId="14" xfId="3" applyFont="1" applyFill="1" applyBorder="1" applyAlignment="1">
      <alignment horizontal="center" vertical="center"/>
    </xf>
    <xf numFmtId="165" fontId="13" fillId="2" borderId="15" xfId="3" applyFont="1" applyFill="1" applyBorder="1" applyAlignment="1">
      <alignment horizontal="center" vertical="center"/>
    </xf>
    <xf numFmtId="165" fontId="3" fillId="0" borderId="16" xfId="3" applyFont="1" applyBorder="1" applyAlignment="1">
      <alignment horizontal="center" vertical="center"/>
    </xf>
    <xf numFmtId="165" fontId="1" fillId="0" borderId="11" xfId="3" applyFont="1" applyBorder="1" applyAlignment="1">
      <alignment horizontal="left" vertical="center"/>
    </xf>
    <xf numFmtId="165" fontId="6" fillId="0" borderId="9" xfId="3" applyFont="1" applyBorder="1" applyAlignment="1">
      <alignment vertical="center"/>
    </xf>
    <xf numFmtId="165" fontId="6" fillId="0" borderId="11" xfId="3" applyFont="1" applyBorder="1" applyAlignment="1">
      <alignment vertical="center"/>
    </xf>
    <xf numFmtId="166" fontId="6" fillId="0" borderId="0" xfId="3" applyNumberFormat="1" applyFont="1" applyBorder="1" applyAlignment="1">
      <alignment horizontal="center" vertical="center"/>
    </xf>
    <xf numFmtId="1" fontId="6" fillId="0" borderId="1" xfId="0" applyNumberFormat="1" applyFont="1" applyBorder="1" applyAlignment="1">
      <alignment horizontal="center" vertical="center"/>
    </xf>
    <xf numFmtId="1" fontId="6" fillId="0" borderId="17" xfId="3" applyNumberFormat="1" applyFont="1" applyBorder="1" applyAlignment="1">
      <alignment horizontal="center" vertical="center"/>
    </xf>
    <xf numFmtId="165" fontId="3" fillId="0" borderId="18" xfId="3" applyFont="1" applyBorder="1" applyAlignment="1">
      <alignment vertical="center"/>
    </xf>
    <xf numFmtId="4" fontId="3" fillId="0" borderId="19" xfId="0" applyNumberFormat="1" applyFont="1" applyBorder="1" applyAlignment="1">
      <alignment vertical="center"/>
    </xf>
    <xf numFmtId="165" fontId="6" fillId="0" borderId="16" xfId="3" applyFont="1" applyBorder="1" applyAlignment="1">
      <alignment vertical="center"/>
    </xf>
    <xf numFmtId="165" fontId="6" fillId="0" borderId="7" xfId="3" applyFont="1" applyBorder="1" applyAlignment="1">
      <alignment vertical="center"/>
    </xf>
    <xf numFmtId="0" fontId="0" fillId="0" borderId="7" xfId="0" applyBorder="1" applyAlignment="1">
      <alignment vertical="center"/>
    </xf>
    <xf numFmtId="1" fontId="6" fillId="0" borderId="8" xfId="3" applyNumberFormat="1" applyFont="1" applyBorder="1" applyAlignment="1">
      <alignment horizontal="center" vertical="center"/>
    </xf>
    <xf numFmtId="0" fontId="0" fillId="0" borderId="9" xfId="0" applyBorder="1" applyAlignment="1">
      <alignment vertical="center"/>
    </xf>
    <xf numFmtId="0" fontId="0" fillId="0" borderId="19" xfId="0" applyBorder="1" applyAlignment="1">
      <alignment vertical="center"/>
    </xf>
    <xf numFmtId="1" fontId="3" fillId="0" borderId="20" xfId="3" applyNumberFormat="1" applyFont="1" applyBorder="1" applyAlignment="1">
      <alignment horizontal="center" vertical="center"/>
    </xf>
    <xf numFmtId="165" fontId="12" fillId="0" borderId="1" xfId="3" applyFont="1" applyBorder="1" applyAlignment="1">
      <alignment horizontal="center" vertical="center"/>
    </xf>
    <xf numFmtId="165" fontId="6" fillId="0" borderId="1" xfId="3" applyFont="1" applyFill="1" applyBorder="1" applyAlignment="1">
      <alignment horizontal="center" vertical="center"/>
    </xf>
    <xf numFmtId="165" fontId="11" fillId="0" borderId="0" xfId="3" applyFont="1" applyAlignment="1">
      <alignment vertical="center"/>
    </xf>
    <xf numFmtId="43" fontId="6" fillId="0" borderId="0" xfId="0" applyNumberFormat="1" applyFont="1" applyAlignment="1">
      <alignment vertical="center"/>
    </xf>
    <xf numFmtId="0" fontId="6" fillId="3" borderId="1" xfId="0" applyFont="1" applyFill="1" applyBorder="1" applyAlignment="1">
      <alignment horizontal="center" vertical="center"/>
    </xf>
    <xf numFmtId="165" fontId="6" fillId="3" borderId="2" xfId="3" applyFont="1" applyFill="1" applyBorder="1" applyAlignment="1">
      <alignment horizontal="center" vertical="center"/>
    </xf>
    <xf numFmtId="2" fontId="6" fillId="3" borderId="1" xfId="0" applyNumberFormat="1" applyFont="1" applyFill="1" applyBorder="1" applyAlignment="1">
      <alignment horizontal="center" vertical="center"/>
    </xf>
    <xf numFmtId="165" fontId="6" fillId="3" borderId="1" xfId="3" applyFont="1" applyFill="1" applyBorder="1" applyAlignment="1">
      <alignment horizontal="center" vertical="center"/>
    </xf>
    <xf numFmtId="1" fontId="6" fillId="3" borderId="1" xfId="0" applyNumberFormat="1" applyFont="1" applyFill="1" applyBorder="1" applyAlignment="1">
      <alignment horizontal="center" vertical="center"/>
    </xf>
    <xf numFmtId="0" fontId="6" fillId="3" borderId="0" xfId="0" applyFont="1" applyFill="1" applyAlignment="1">
      <alignment vertical="center"/>
    </xf>
    <xf numFmtId="165" fontId="6" fillId="3" borderId="0" xfId="3" applyFont="1" applyFill="1" applyAlignment="1">
      <alignment vertical="center"/>
    </xf>
    <xf numFmtId="0" fontId="6" fillId="0" borderId="0" xfId="0" applyFont="1" applyAlignment="1">
      <alignment horizontal="right" vertical="center"/>
    </xf>
    <xf numFmtId="166" fontId="6" fillId="0" borderId="1" xfId="3" applyNumberFormat="1" applyFont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4" fontId="6" fillId="3" borderId="2" xfId="0" applyNumberFormat="1" applyFont="1" applyFill="1" applyBorder="1" applyAlignment="1">
      <alignment horizontal="center" vertical="center"/>
    </xf>
    <xf numFmtId="167" fontId="6" fillId="3" borderId="2" xfId="3" applyNumberFormat="1" applyFont="1" applyFill="1" applyBorder="1" applyAlignment="1">
      <alignment horizontal="center" vertical="center"/>
    </xf>
    <xf numFmtId="3" fontId="6" fillId="3" borderId="1" xfId="0" applyNumberFormat="1" applyFont="1" applyFill="1" applyBorder="1" applyAlignment="1">
      <alignment horizontal="center" vertical="center"/>
    </xf>
    <xf numFmtId="4" fontId="6" fillId="3" borderId="1" xfId="0" applyNumberFormat="1" applyFont="1" applyFill="1" applyBorder="1" applyAlignment="1">
      <alignment horizontal="center" vertical="center"/>
    </xf>
    <xf numFmtId="13" fontId="6" fillId="3" borderId="1" xfId="0" applyNumberFormat="1" applyFont="1" applyFill="1" applyBorder="1" applyAlignment="1">
      <alignment horizontal="center" vertical="center"/>
    </xf>
    <xf numFmtId="166" fontId="6" fillId="0" borderId="1" xfId="3" applyNumberFormat="1" applyFont="1" applyFill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165" fontId="3" fillId="0" borderId="1" xfId="3" applyFont="1" applyBorder="1" applyAlignment="1">
      <alignment horizontal="center" vertical="center"/>
    </xf>
    <xf numFmtId="165" fontId="6" fillId="0" borderId="2" xfId="3" applyFont="1" applyFill="1" applyBorder="1" applyAlignment="1">
      <alignment horizontal="center" vertical="center"/>
    </xf>
    <xf numFmtId="0" fontId="8" fillId="0" borderId="0" xfId="1" applyAlignment="1" applyProtection="1">
      <alignment vertical="center"/>
    </xf>
    <xf numFmtId="0" fontId="3" fillId="0" borderId="0" xfId="0" applyFont="1"/>
    <xf numFmtId="0" fontId="13" fillId="2" borderId="21" xfId="0" applyFont="1" applyFill="1" applyBorder="1" applyAlignment="1">
      <alignment horizontal="center" vertical="center"/>
    </xf>
    <xf numFmtId="0" fontId="13" fillId="2" borderId="22" xfId="0" applyFont="1" applyFill="1" applyBorder="1" applyAlignment="1">
      <alignment horizontal="center" vertical="center"/>
    </xf>
    <xf numFmtId="165" fontId="13" fillId="2" borderId="22" xfId="3" applyFont="1" applyFill="1" applyBorder="1" applyAlignment="1">
      <alignment horizontal="center" vertical="center"/>
    </xf>
    <xf numFmtId="165" fontId="6" fillId="0" borderId="0" xfId="3" applyFont="1" applyFill="1" applyAlignment="1">
      <alignment vertical="center"/>
    </xf>
    <xf numFmtId="165" fontId="3" fillId="0" borderId="1" xfId="3" applyFont="1" applyFill="1" applyBorder="1" applyAlignment="1">
      <alignment horizontal="center" vertical="center"/>
    </xf>
    <xf numFmtId="3" fontId="6" fillId="3" borderId="1" xfId="0" applyNumberFormat="1" applyFont="1" applyFill="1" applyBorder="1" applyAlignment="1">
      <alignment vertical="center"/>
    </xf>
    <xf numFmtId="164" fontId="3" fillId="0" borderId="23" xfId="0" applyNumberFormat="1" applyFont="1" applyBorder="1" applyAlignment="1">
      <alignment vertical="center"/>
    </xf>
    <xf numFmtId="165" fontId="3" fillId="0" borderId="24" xfId="3" applyFont="1" applyBorder="1" applyAlignment="1">
      <alignment vertical="center"/>
    </xf>
    <xf numFmtId="0" fontId="3" fillId="0" borderId="25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165" fontId="3" fillId="0" borderId="0" xfId="3" applyFont="1" applyAlignment="1">
      <alignment horizontal="center" vertical="center"/>
    </xf>
    <xf numFmtId="165" fontId="3" fillId="0" borderId="25" xfId="3" applyFont="1" applyBorder="1" applyAlignment="1">
      <alignment horizontal="center" vertical="center"/>
    </xf>
    <xf numFmtId="2" fontId="6" fillId="0" borderId="1" xfId="3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165" fontId="6" fillId="0" borderId="0" xfId="3" applyFont="1" applyAlignment="1">
      <alignment horizontal="right" vertical="center"/>
    </xf>
    <xf numFmtId="165" fontId="3" fillId="2" borderId="6" xfId="3" applyFont="1" applyFill="1" applyBorder="1" applyAlignment="1">
      <alignment horizontal="center" vertical="center"/>
    </xf>
    <xf numFmtId="165" fontId="3" fillId="0" borderId="11" xfId="3" applyFont="1" applyBorder="1" applyAlignment="1">
      <alignment vertical="center"/>
    </xf>
    <xf numFmtId="165" fontId="3" fillId="0" borderId="9" xfId="0" applyNumberFormat="1" applyFont="1" applyBorder="1" applyAlignment="1">
      <alignment vertical="center"/>
    </xf>
    <xf numFmtId="165" fontId="3" fillId="0" borderId="9" xfId="3" applyFont="1" applyBorder="1" applyAlignment="1">
      <alignment vertical="center"/>
    </xf>
    <xf numFmtId="10" fontId="3" fillId="0" borderId="12" xfId="2" applyNumberFormat="1" applyFont="1" applyBorder="1" applyAlignment="1">
      <alignment vertical="center"/>
    </xf>
    <xf numFmtId="165" fontId="3" fillId="0" borderId="26" xfId="3" applyFont="1" applyBorder="1" applyAlignment="1">
      <alignment vertical="center"/>
    </xf>
    <xf numFmtId="4" fontId="3" fillId="0" borderId="0" xfId="0" applyNumberFormat="1" applyFont="1" applyAlignment="1">
      <alignment vertical="center"/>
    </xf>
    <xf numFmtId="165" fontId="6" fillId="0" borderId="27" xfId="3" applyFont="1" applyBorder="1" applyAlignment="1">
      <alignment vertical="center"/>
    </xf>
    <xf numFmtId="165" fontId="6" fillId="0" borderId="28" xfId="3" applyFont="1" applyBorder="1" applyAlignment="1">
      <alignment vertical="center"/>
    </xf>
    <xf numFmtId="165" fontId="6" fillId="0" borderId="29" xfId="3" applyFont="1" applyBorder="1" applyAlignment="1">
      <alignment vertical="center"/>
    </xf>
    <xf numFmtId="0" fontId="6" fillId="0" borderId="29" xfId="0" applyFont="1" applyBorder="1" applyAlignment="1">
      <alignment vertical="center"/>
    </xf>
    <xf numFmtId="1" fontId="6" fillId="0" borderId="30" xfId="3" applyNumberFormat="1" applyFont="1" applyBorder="1" applyAlignment="1">
      <alignment horizontal="center" vertical="center"/>
    </xf>
    <xf numFmtId="165" fontId="3" fillId="0" borderId="11" xfId="3" applyFont="1" applyBorder="1" applyAlignment="1">
      <alignment horizontal="left" vertical="center"/>
    </xf>
    <xf numFmtId="4" fontId="3" fillId="0" borderId="9" xfId="0" applyNumberFormat="1" applyFont="1" applyBorder="1" applyAlignment="1">
      <alignment horizontal="centerContinuous" vertical="center"/>
    </xf>
    <xf numFmtId="165" fontId="6" fillId="4" borderId="1" xfId="3" applyFont="1" applyFill="1" applyBorder="1" applyAlignment="1">
      <alignment horizontal="center" vertical="center"/>
    </xf>
    <xf numFmtId="165" fontId="6" fillId="4" borderId="1" xfId="3" applyFont="1" applyFill="1" applyBorder="1" applyAlignment="1">
      <alignment vertical="center"/>
    </xf>
    <xf numFmtId="9" fontId="3" fillId="0" borderId="15" xfId="2" applyFont="1" applyBorder="1" applyAlignment="1">
      <alignment vertical="center"/>
    </xf>
    <xf numFmtId="10" fontId="6" fillId="0" borderId="12" xfId="2" applyNumberFormat="1" applyFont="1" applyBorder="1" applyAlignment="1">
      <alignment vertical="center"/>
    </xf>
    <xf numFmtId="0" fontId="5" fillId="0" borderId="0" xfId="0" applyFont="1"/>
    <xf numFmtId="0" fontId="5" fillId="0" borderId="0" xfId="0" applyFont="1" applyAlignment="1">
      <alignment horizontal="center"/>
    </xf>
    <xf numFmtId="165" fontId="6" fillId="0" borderId="1" xfId="0" applyNumberFormat="1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0" fillId="0" borderId="26" xfId="0" applyBorder="1" applyAlignment="1">
      <alignment vertical="center"/>
    </xf>
    <xf numFmtId="165" fontId="0" fillId="0" borderId="0" xfId="3" applyFont="1" applyFill="1" applyBorder="1" applyAlignment="1">
      <alignment vertical="center"/>
    </xf>
    <xf numFmtId="165" fontId="0" fillId="0" borderId="27" xfId="3" applyFont="1" applyFill="1" applyBorder="1" applyAlignment="1">
      <alignment vertical="center"/>
    </xf>
    <xf numFmtId="166" fontId="3" fillId="0" borderId="0" xfId="3" applyNumberFormat="1" applyFont="1" applyBorder="1" applyAlignment="1">
      <alignment horizontal="center" vertical="center"/>
    </xf>
    <xf numFmtId="0" fontId="20" fillId="0" borderId="11" xfId="0" applyFont="1" applyBorder="1"/>
    <xf numFmtId="0" fontId="20" fillId="0" borderId="31" xfId="0" applyFont="1" applyBorder="1"/>
    <xf numFmtId="0" fontId="20" fillId="3" borderId="17" xfId="0" applyFont="1" applyFill="1" applyBorder="1"/>
    <xf numFmtId="0" fontId="20" fillId="0" borderId="32" xfId="0" applyFont="1" applyBorder="1"/>
    <xf numFmtId="0" fontId="20" fillId="0" borderId="33" xfId="0" applyFont="1" applyBorder="1"/>
    <xf numFmtId="0" fontId="20" fillId="0" borderId="17" xfId="0" applyFont="1" applyBorder="1"/>
    <xf numFmtId="2" fontId="21" fillId="5" borderId="1" xfId="0" applyNumberFormat="1" applyFont="1" applyFill="1" applyBorder="1" applyAlignment="1">
      <alignment horizontal="right" vertical="center"/>
    </xf>
    <xf numFmtId="0" fontId="21" fillId="0" borderId="32" xfId="0" applyFont="1" applyBorder="1" applyAlignment="1">
      <alignment horizontal="center" vertical="center"/>
    </xf>
    <xf numFmtId="0" fontId="21" fillId="0" borderId="34" xfId="0" applyFont="1" applyBorder="1" applyAlignment="1">
      <alignment horizontal="center" vertical="center"/>
    </xf>
    <xf numFmtId="2" fontId="21" fillId="5" borderId="35" xfId="0" applyNumberFormat="1" applyFont="1" applyFill="1" applyBorder="1" applyAlignment="1">
      <alignment horizontal="right" vertical="center"/>
    </xf>
    <xf numFmtId="0" fontId="21" fillId="0" borderId="32" xfId="0" applyFont="1" applyBorder="1" applyAlignment="1">
      <alignment horizontal="left" vertical="center"/>
    </xf>
    <xf numFmtId="0" fontId="21" fillId="0" borderId="1" xfId="0" applyFont="1" applyBorder="1" applyAlignment="1">
      <alignment horizontal="left" vertical="center"/>
    </xf>
    <xf numFmtId="0" fontId="21" fillId="0" borderId="17" xfId="0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10" fontId="21" fillId="0" borderId="17" xfId="0" applyNumberFormat="1" applyFont="1" applyBorder="1" applyAlignment="1">
      <alignment horizontal="right" vertical="center"/>
    </xf>
    <xf numFmtId="0" fontId="22" fillId="0" borderId="1" xfId="0" applyFont="1" applyBorder="1" applyAlignment="1">
      <alignment horizontal="left" vertical="center"/>
    </xf>
    <xf numFmtId="10" fontId="22" fillId="0" borderId="17" xfId="0" applyNumberFormat="1" applyFont="1" applyBorder="1" applyAlignment="1">
      <alignment horizontal="right" vertical="center"/>
    </xf>
    <xf numFmtId="0" fontId="21" fillId="6" borderId="32" xfId="0" applyFont="1" applyFill="1" applyBorder="1" applyAlignment="1">
      <alignment horizontal="left" vertical="center"/>
    </xf>
    <xf numFmtId="0" fontId="22" fillId="6" borderId="1" xfId="0" applyFont="1" applyFill="1" applyBorder="1" applyAlignment="1">
      <alignment horizontal="left" vertical="center"/>
    </xf>
    <xf numFmtId="10" fontId="22" fillId="6" borderId="17" xfId="0" applyNumberFormat="1" applyFont="1" applyFill="1" applyBorder="1" applyAlignment="1">
      <alignment horizontal="right" vertical="center"/>
    </xf>
    <xf numFmtId="0" fontId="23" fillId="0" borderId="1" xfId="0" applyFont="1" applyBorder="1" applyAlignment="1">
      <alignment horizontal="left" vertical="center"/>
    </xf>
    <xf numFmtId="0" fontId="24" fillId="0" borderId="0" xfId="0" applyFont="1" applyAlignment="1">
      <alignment horizontal="left" vertical="center"/>
    </xf>
    <xf numFmtId="10" fontId="6" fillId="0" borderId="0" xfId="0" applyNumberFormat="1" applyFont="1"/>
    <xf numFmtId="9" fontId="21" fillId="0" borderId="0" xfId="2" applyFont="1" applyBorder="1" applyAlignment="1">
      <alignment horizontal="right" vertical="center"/>
    </xf>
    <xf numFmtId="0" fontId="21" fillId="0" borderId="1" xfId="0" applyFont="1" applyBorder="1" applyAlignment="1">
      <alignment horizontal="left" vertical="center" wrapText="1"/>
    </xf>
    <xf numFmtId="0" fontId="21" fillId="7" borderId="34" xfId="0" applyFont="1" applyFill="1" applyBorder="1" applyAlignment="1">
      <alignment horizontal="left" vertical="center"/>
    </xf>
    <xf numFmtId="0" fontId="22" fillId="7" borderId="35" xfId="0" applyFont="1" applyFill="1" applyBorder="1" applyAlignment="1">
      <alignment horizontal="left" vertical="center"/>
    </xf>
    <xf numFmtId="10" fontId="22" fillId="7" borderId="30" xfId="0" applyNumberFormat="1" applyFont="1" applyFill="1" applyBorder="1" applyAlignment="1">
      <alignment horizontal="right" vertical="center"/>
    </xf>
    <xf numFmtId="0" fontId="22" fillId="0" borderId="0" xfId="0" applyFont="1" applyAlignment="1">
      <alignment horizontal="left" vertical="center"/>
    </xf>
    <xf numFmtId="10" fontId="22" fillId="0" borderId="0" xfId="0" applyNumberFormat="1" applyFont="1" applyAlignment="1">
      <alignment horizontal="right" vertical="center"/>
    </xf>
    <xf numFmtId="0" fontId="24" fillId="8" borderId="0" xfId="0" applyFont="1" applyFill="1" applyAlignment="1">
      <alignment horizontal="left" vertical="center"/>
    </xf>
    <xf numFmtId="10" fontId="21" fillId="0" borderId="0" xfId="0" applyNumberFormat="1" applyFont="1" applyAlignment="1">
      <alignment horizontal="right" vertical="center"/>
    </xf>
    <xf numFmtId="0" fontId="21" fillId="8" borderId="0" xfId="0" applyFont="1" applyFill="1" applyAlignment="1">
      <alignment horizontal="left" vertical="center"/>
    </xf>
    <xf numFmtId="0" fontId="25" fillId="0" borderId="0" xfId="0" applyFont="1" applyAlignment="1">
      <alignment horizontal="justify" vertical="center"/>
    </xf>
    <xf numFmtId="0" fontId="8" fillId="0" borderId="0" xfId="1" applyBorder="1" applyAlignment="1" applyProtection="1">
      <alignment horizontal="left" vertical="center"/>
    </xf>
    <xf numFmtId="0" fontId="26" fillId="0" borderId="0" xfId="0" applyFont="1"/>
    <xf numFmtId="0" fontId="21" fillId="0" borderId="0" xfId="0" applyFont="1" applyAlignment="1">
      <alignment horizontal="right" vertical="center"/>
    </xf>
    <xf numFmtId="0" fontId="8" fillId="0" borderId="0" xfId="1" applyBorder="1" applyAlignment="1" applyProtection="1">
      <alignment vertical="center"/>
    </xf>
    <xf numFmtId="0" fontId="5" fillId="0" borderId="12" xfId="0" applyFont="1" applyBorder="1"/>
    <xf numFmtId="0" fontId="5" fillId="0" borderId="32" xfId="0" applyFont="1" applyBorder="1"/>
    <xf numFmtId="0" fontId="5" fillId="3" borderId="17" xfId="0" applyFont="1" applyFill="1" applyBorder="1"/>
    <xf numFmtId="0" fontId="5" fillId="0" borderId="31" xfId="0" applyFont="1" applyBorder="1"/>
    <xf numFmtId="0" fontId="5" fillId="3" borderId="33" xfId="0" applyFont="1" applyFill="1" applyBorder="1"/>
    <xf numFmtId="0" fontId="5" fillId="0" borderId="36" xfId="0" applyFont="1" applyBorder="1"/>
    <xf numFmtId="0" fontId="5" fillId="3" borderId="37" xfId="0" applyFont="1" applyFill="1" applyBorder="1"/>
    <xf numFmtId="0" fontId="5" fillId="0" borderId="26" xfId="0" applyFont="1" applyBorder="1"/>
    <xf numFmtId="0" fontId="5" fillId="0" borderId="27" xfId="0" applyFont="1" applyBorder="1"/>
    <xf numFmtId="0" fontId="7" fillId="0" borderId="33" xfId="0" applyFont="1" applyBorder="1"/>
    <xf numFmtId="0" fontId="7" fillId="0" borderId="26" xfId="0" applyFont="1" applyBorder="1" applyAlignment="1">
      <alignment horizontal="left" vertical="center"/>
    </xf>
    <xf numFmtId="9" fontId="5" fillId="0" borderId="32" xfId="2" applyFont="1" applyBorder="1"/>
    <xf numFmtId="9" fontId="5" fillId="0" borderId="1" xfId="2" applyFont="1" applyBorder="1" applyAlignment="1">
      <alignment horizontal="center"/>
    </xf>
    <xf numFmtId="9" fontId="5" fillId="0" borderId="17" xfId="2" applyFont="1" applyBorder="1"/>
    <xf numFmtId="0" fontId="5" fillId="0" borderId="38" xfId="0" applyFont="1" applyBorder="1" applyAlignment="1">
      <alignment horizontal="left" vertical="center"/>
    </xf>
    <xf numFmtId="0" fontId="5" fillId="0" borderId="39" xfId="0" applyFont="1" applyBorder="1" applyAlignment="1">
      <alignment horizontal="center" vertical="center"/>
    </xf>
    <xf numFmtId="10" fontId="5" fillId="3" borderId="8" xfId="0" applyNumberFormat="1" applyFont="1" applyFill="1" applyBorder="1" applyAlignment="1">
      <alignment horizontal="center" vertical="center"/>
    </xf>
    <xf numFmtId="10" fontId="5" fillId="0" borderId="17" xfId="2" applyNumberFormat="1" applyFont="1" applyBorder="1"/>
    <xf numFmtId="0" fontId="5" fillId="0" borderId="32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10" fontId="5" fillId="3" borderId="17" xfId="0" applyNumberFormat="1" applyFont="1" applyFill="1" applyBorder="1" applyAlignment="1">
      <alignment horizontal="center" vertical="center"/>
    </xf>
    <xf numFmtId="10" fontId="5" fillId="0" borderId="17" xfId="0" applyNumberFormat="1" applyFont="1" applyBorder="1" applyAlignment="1">
      <alignment horizontal="center" vertical="center"/>
    </xf>
    <xf numFmtId="10" fontId="5" fillId="3" borderId="1" xfId="2" applyNumberFormat="1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5" fillId="0" borderId="17" xfId="0" applyFont="1" applyBorder="1"/>
    <xf numFmtId="0" fontId="5" fillId="0" borderId="34" xfId="0" applyFont="1" applyBorder="1" applyAlignment="1">
      <alignment horizontal="left" vertical="center"/>
    </xf>
    <xf numFmtId="10" fontId="5" fillId="3" borderId="30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40" xfId="0" applyFont="1" applyBorder="1" applyAlignment="1">
      <alignment vertical="center"/>
    </xf>
    <xf numFmtId="0" fontId="5" fillId="0" borderId="41" xfId="0" applyFont="1" applyBorder="1" applyAlignment="1">
      <alignment vertical="center"/>
    </xf>
    <xf numFmtId="10" fontId="5" fillId="0" borderId="42" xfId="0" applyNumberFormat="1" applyFont="1" applyBorder="1" applyAlignment="1">
      <alignment vertical="center"/>
    </xf>
    <xf numFmtId="0" fontId="5" fillId="0" borderId="18" xfId="0" applyFont="1" applyBorder="1" applyAlignment="1">
      <alignment horizontal="left" vertical="center"/>
    </xf>
    <xf numFmtId="0" fontId="5" fillId="0" borderId="19" xfId="0" applyFont="1" applyBorder="1" applyAlignment="1">
      <alignment horizontal="left" vertical="center"/>
    </xf>
    <xf numFmtId="0" fontId="5" fillId="0" borderId="43" xfId="0" applyFont="1" applyBorder="1" applyAlignment="1">
      <alignment vertical="center"/>
    </xf>
    <xf numFmtId="0" fontId="7" fillId="6" borderId="4" xfId="0" applyFont="1" applyFill="1" applyBorder="1" applyAlignment="1">
      <alignment vertical="center" wrapText="1"/>
    </xf>
    <xf numFmtId="0" fontId="5" fillId="6" borderId="5" xfId="0" applyFont="1" applyFill="1" applyBorder="1" applyAlignment="1">
      <alignment vertical="center"/>
    </xf>
    <xf numFmtId="10" fontId="7" fillId="6" borderId="6" xfId="0" applyNumberFormat="1" applyFont="1" applyFill="1" applyBorder="1" applyAlignment="1">
      <alignment horizontal="center" vertical="center" wrapText="1"/>
    </xf>
    <xf numFmtId="10" fontId="5" fillId="0" borderId="32" xfId="2" applyNumberFormat="1" applyFont="1" applyBorder="1" applyAlignment="1">
      <alignment horizontal="right"/>
    </xf>
    <xf numFmtId="10" fontId="5" fillId="0" borderId="1" xfId="2" applyNumberFormat="1" applyFont="1" applyBorder="1" applyAlignment="1">
      <alignment horizontal="right"/>
    </xf>
    <xf numFmtId="10" fontId="5" fillId="0" borderId="17" xfId="2" applyNumberFormat="1" applyFont="1" applyBorder="1" applyAlignment="1">
      <alignment horizontal="right"/>
    </xf>
    <xf numFmtId="10" fontId="5" fillId="0" borderId="34" xfId="2" applyNumberFormat="1" applyFont="1" applyBorder="1" applyAlignment="1">
      <alignment horizontal="right"/>
    </xf>
    <xf numFmtId="10" fontId="5" fillId="0" borderId="35" xfId="2" applyNumberFormat="1" applyFont="1" applyBorder="1" applyAlignment="1">
      <alignment horizontal="right"/>
    </xf>
    <xf numFmtId="10" fontId="5" fillId="0" borderId="30" xfId="2" applyNumberFormat="1" applyFont="1" applyBorder="1" applyAlignment="1">
      <alignment horizontal="right"/>
    </xf>
    <xf numFmtId="0" fontId="6" fillId="0" borderId="44" xfId="0" applyFont="1" applyBorder="1"/>
    <xf numFmtId="0" fontId="27" fillId="0" borderId="44" xfId="0" applyFont="1" applyBorder="1" applyAlignment="1">
      <alignment horizontal="justify"/>
    </xf>
    <xf numFmtId="0" fontId="27" fillId="0" borderId="45" xfId="0" applyFont="1" applyBorder="1" applyAlignment="1">
      <alignment horizontal="justify"/>
    </xf>
    <xf numFmtId="0" fontId="17" fillId="9" borderId="46" xfId="0" applyFont="1" applyFill="1" applyBorder="1" applyAlignment="1">
      <alignment horizontal="center"/>
    </xf>
    <xf numFmtId="1" fontId="6" fillId="0" borderId="0" xfId="3" applyNumberFormat="1" applyFont="1" applyBorder="1" applyAlignment="1">
      <alignment horizontal="center" vertical="center"/>
    </xf>
    <xf numFmtId="0" fontId="6" fillId="0" borderId="9" xfId="0" applyFont="1" applyBorder="1" applyAlignment="1">
      <alignment vertical="center"/>
    </xf>
    <xf numFmtId="165" fontId="6" fillId="3" borderId="9" xfId="3" applyFont="1" applyFill="1" applyBorder="1" applyAlignment="1">
      <alignment vertical="center"/>
    </xf>
    <xf numFmtId="165" fontId="6" fillId="0" borderId="47" xfId="3" applyFont="1" applyBorder="1" applyAlignment="1">
      <alignment vertical="center"/>
    </xf>
    <xf numFmtId="165" fontId="3" fillId="0" borderId="6" xfId="3" applyFont="1" applyBorder="1" applyAlignment="1">
      <alignment horizontal="right" vertical="center"/>
    </xf>
    <xf numFmtId="165" fontId="3" fillId="2" borderId="3" xfId="3" applyFont="1" applyFill="1" applyBorder="1" applyAlignment="1">
      <alignment horizontal="right" vertical="center"/>
    </xf>
    <xf numFmtId="168" fontId="3" fillId="0" borderId="1" xfId="0" applyNumberFormat="1" applyFont="1" applyBorder="1" applyAlignment="1">
      <alignment vertical="center"/>
    </xf>
    <xf numFmtId="168" fontId="0" fillId="0" borderId="1" xfId="0" applyNumberFormat="1" applyBorder="1" applyAlignment="1">
      <alignment vertical="center"/>
    </xf>
    <xf numFmtId="168" fontId="3" fillId="0" borderId="35" xfId="0" applyNumberFormat="1" applyFont="1" applyBorder="1" applyAlignment="1">
      <alignment vertical="center"/>
    </xf>
    <xf numFmtId="165" fontId="3" fillId="0" borderId="7" xfId="3" applyFont="1" applyBorder="1" applyAlignment="1">
      <alignment vertical="center"/>
    </xf>
    <xf numFmtId="165" fontId="3" fillId="0" borderId="4" xfId="3" applyFont="1" applyBorder="1" applyAlignment="1">
      <alignment vertical="center"/>
    </xf>
    <xf numFmtId="9" fontId="3" fillId="3" borderId="6" xfId="2" applyFont="1" applyFill="1" applyBorder="1" applyAlignment="1">
      <alignment vertical="center"/>
    </xf>
    <xf numFmtId="0" fontId="4" fillId="0" borderId="26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22" fillId="0" borderId="32" xfId="0" applyFont="1" applyBorder="1" applyAlignment="1">
      <alignment horizontal="center" vertical="center"/>
    </xf>
    <xf numFmtId="0" fontId="22" fillId="5" borderId="1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165" fontId="3" fillId="0" borderId="9" xfId="3" applyFont="1" applyBorder="1" applyAlignment="1">
      <alignment horizontal="center" vertical="center"/>
    </xf>
    <xf numFmtId="0" fontId="13" fillId="2" borderId="14" xfId="0" applyFont="1" applyFill="1" applyBorder="1" applyAlignment="1">
      <alignment horizontal="center" vertical="center" wrapText="1"/>
    </xf>
    <xf numFmtId="167" fontId="6" fillId="0" borderId="1" xfId="3" applyNumberFormat="1" applyFont="1" applyBorder="1" applyAlignment="1">
      <alignment horizontal="center" vertical="center"/>
    </xf>
    <xf numFmtId="166" fontId="3" fillId="0" borderId="1" xfId="3" applyNumberFormat="1" applyFont="1" applyBorder="1" applyAlignment="1">
      <alignment horizontal="center" vertical="center"/>
    </xf>
    <xf numFmtId="167" fontId="3" fillId="0" borderId="1" xfId="3" applyNumberFormat="1" applyFont="1" applyBorder="1" applyAlignment="1">
      <alignment horizontal="center" vertical="center"/>
    </xf>
    <xf numFmtId="167" fontId="6" fillId="0" borderId="2" xfId="3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1" fillId="0" borderId="0" xfId="0" applyFont="1"/>
    <xf numFmtId="0" fontId="3" fillId="0" borderId="48" xfId="0" applyFont="1" applyBorder="1" applyAlignment="1">
      <alignment vertical="center"/>
    </xf>
    <xf numFmtId="0" fontId="3" fillId="0" borderId="48" xfId="0" applyFont="1" applyBorder="1" applyAlignment="1">
      <alignment horizontal="center" vertical="center"/>
    </xf>
    <xf numFmtId="165" fontId="3" fillId="0" borderId="48" xfId="3" applyFont="1" applyBorder="1" applyAlignment="1">
      <alignment horizontal="center" vertical="center"/>
    </xf>
    <xf numFmtId="165" fontId="3" fillId="0" borderId="48" xfId="3" applyFont="1" applyFill="1" applyBorder="1" applyAlignment="1">
      <alignment horizontal="center" vertical="center"/>
    </xf>
    <xf numFmtId="4" fontId="1" fillId="0" borderId="0" xfId="0" applyNumberFormat="1" applyFont="1" applyAlignment="1">
      <alignment vertical="center"/>
    </xf>
    <xf numFmtId="0" fontId="7" fillId="0" borderId="32" xfId="0" applyFont="1" applyBorder="1"/>
    <xf numFmtId="0" fontId="7" fillId="0" borderId="1" xfId="0" applyFont="1" applyBorder="1"/>
    <xf numFmtId="0" fontId="7" fillId="0" borderId="17" xfId="0" applyFont="1" applyBorder="1"/>
    <xf numFmtId="0" fontId="5" fillId="0" borderId="1" xfId="0" applyFont="1" applyBorder="1"/>
    <xf numFmtId="170" fontId="23" fillId="0" borderId="17" xfId="3" applyNumberFormat="1" applyFont="1" applyBorder="1" applyAlignment="1">
      <alignment horizontal="center" vertical="center" wrapText="1"/>
    </xf>
    <xf numFmtId="171" fontId="5" fillId="0" borderId="17" xfId="0" applyNumberFormat="1" applyFont="1" applyBorder="1"/>
    <xf numFmtId="2" fontId="5" fillId="0" borderId="17" xfId="0" applyNumberFormat="1" applyFont="1" applyBorder="1"/>
    <xf numFmtId="0" fontId="5" fillId="0" borderId="34" xfId="0" applyFont="1" applyBorder="1"/>
    <xf numFmtId="0" fontId="5" fillId="0" borderId="35" xfId="0" applyFont="1" applyBorder="1"/>
    <xf numFmtId="171" fontId="5" fillId="3" borderId="17" xfId="0" applyNumberFormat="1" applyFont="1" applyFill="1" applyBorder="1"/>
    <xf numFmtId="171" fontId="5" fillId="0" borderId="30" xfId="0" applyNumberFormat="1" applyFont="1" applyBorder="1"/>
    <xf numFmtId="0" fontId="17" fillId="0" borderId="1" xfId="0" applyFont="1" applyBorder="1" applyAlignment="1">
      <alignment horizontal="center"/>
    </xf>
    <xf numFmtId="0" fontId="17" fillId="0" borderId="32" xfId="0" applyFont="1" applyBorder="1" applyAlignment="1">
      <alignment horizontal="center"/>
    </xf>
    <xf numFmtId="0" fontId="17" fillId="0" borderId="17" xfId="0" applyFont="1" applyBorder="1" applyAlignment="1">
      <alignment horizontal="center"/>
    </xf>
    <xf numFmtId="172" fontId="5" fillId="3" borderId="17" xfId="0" applyNumberFormat="1" applyFont="1" applyFill="1" applyBorder="1"/>
    <xf numFmtId="0" fontId="5" fillId="0" borderId="32" xfId="0" applyFont="1" applyBorder="1" applyAlignment="1">
      <alignment horizontal="right"/>
    </xf>
    <xf numFmtId="4" fontId="28" fillId="0" borderId="0" xfId="0" applyNumberFormat="1" applyFont="1" applyAlignment="1">
      <alignment vertical="center"/>
    </xf>
    <xf numFmtId="0" fontId="1" fillId="0" borderId="2" xfId="0" applyFont="1" applyBorder="1" applyAlignment="1">
      <alignment vertical="center"/>
    </xf>
    <xf numFmtId="169" fontId="7" fillId="0" borderId="17" xfId="0" applyNumberFormat="1" applyFont="1" applyBorder="1"/>
    <xf numFmtId="9" fontId="20" fillId="0" borderId="17" xfId="2" applyFont="1" applyBorder="1"/>
    <xf numFmtId="10" fontId="20" fillId="0" borderId="17" xfId="2" applyNumberFormat="1" applyFont="1" applyBorder="1"/>
    <xf numFmtId="0" fontId="5" fillId="0" borderId="49" xfId="0" applyFont="1" applyBorder="1"/>
    <xf numFmtId="165" fontId="3" fillId="2" borderId="0" xfId="3" applyFont="1" applyFill="1" applyBorder="1" applyAlignment="1">
      <alignment horizontal="center" vertical="center"/>
    </xf>
    <xf numFmtId="168" fontId="3" fillId="0" borderId="25" xfId="0" applyNumberFormat="1" applyFont="1" applyBorder="1" applyAlignment="1">
      <alignment vertical="center"/>
    </xf>
    <xf numFmtId="0" fontId="1" fillId="0" borderId="50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20" fillId="0" borderId="26" xfId="0" applyFont="1" applyBorder="1"/>
    <xf numFmtId="9" fontId="7" fillId="0" borderId="56" xfId="2" applyFont="1" applyBorder="1"/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165" fontId="3" fillId="0" borderId="11" xfId="3" applyFont="1" applyBorder="1" applyAlignment="1">
      <alignment horizontal="left" vertical="center"/>
    </xf>
    <xf numFmtId="165" fontId="3" fillId="0" borderId="9" xfId="3" applyFont="1" applyBorder="1" applyAlignment="1">
      <alignment horizontal="left" vertical="center"/>
    </xf>
    <xf numFmtId="0" fontId="17" fillId="10" borderId="40" xfId="0" applyFont="1" applyFill="1" applyBorder="1" applyAlignment="1">
      <alignment horizontal="center" vertical="center"/>
    </xf>
    <xf numFmtId="0" fontId="17" fillId="10" borderId="41" xfId="0" applyFont="1" applyFill="1" applyBorder="1" applyAlignment="1">
      <alignment horizontal="center" vertical="center"/>
    </xf>
    <xf numFmtId="0" fontId="17" fillId="10" borderId="42" xfId="0" applyFont="1" applyFill="1" applyBorder="1" applyAlignment="1">
      <alignment horizontal="center" vertical="center"/>
    </xf>
    <xf numFmtId="0" fontId="7" fillId="10" borderId="51" xfId="0" applyFont="1" applyFill="1" applyBorder="1" applyAlignment="1">
      <alignment horizontal="center" vertical="center"/>
    </xf>
    <xf numFmtId="0" fontId="7" fillId="10" borderId="52" xfId="0" applyFont="1" applyFill="1" applyBorder="1" applyAlignment="1">
      <alignment horizontal="center" vertical="center"/>
    </xf>
    <xf numFmtId="0" fontId="7" fillId="10" borderId="53" xfId="0" applyFont="1" applyFill="1" applyBorder="1" applyAlignment="1">
      <alignment horizontal="center" vertical="center"/>
    </xf>
    <xf numFmtId="165" fontId="3" fillId="0" borderId="4" xfId="3" applyFont="1" applyBorder="1" applyAlignment="1">
      <alignment horizontal="center" vertical="center"/>
    </xf>
    <xf numFmtId="165" fontId="3" fillId="0" borderId="5" xfId="3" applyFont="1" applyBorder="1" applyAlignment="1">
      <alignment horizontal="center" vertical="center"/>
    </xf>
    <xf numFmtId="165" fontId="3" fillId="0" borderId="54" xfId="3" applyFont="1" applyBorder="1" applyAlignment="1">
      <alignment horizontal="center" vertical="center"/>
    </xf>
    <xf numFmtId="165" fontId="4" fillId="10" borderId="4" xfId="3" applyFont="1" applyFill="1" applyBorder="1" applyAlignment="1">
      <alignment horizontal="center" vertical="center"/>
    </xf>
    <xf numFmtId="165" fontId="4" fillId="10" borderId="5" xfId="3" applyFont="1" applyFill="1" applyBorder="1" applyAlignment="1">
      <alignment horizontal="center" vertical="center"/>
    </xf>
    <xf numFmtId="165" fontId="4" fillId="10" borderId="6" xfId="3" applyFont="1" applyFill="1" applyBorder="1" applyAlignment="1">
      <alignment horizontal="center" vertical="center"/>
    </xf>
    <xf numFmtId="0" fontId="17" fillId="10" borderId="38" xfId="0" applyFont="1" applyFill="1" applyBorder="1" applyAlignment="1">
      <alignment horizontal="center" vertical="center"/>
    </xf>
    <xf numFmtId="0" fontId="17" fillId="10" borderId="39" xfId="0" applyFont="1" applyFill="1" applyBorder="1" applyAlignment="1">
      <alignment horizontal="center" vertical="center"/>
    </xf>
    <xf numFmtId="0" fontId="17" fillId="10" borderId="8" xfId="0" applyFont="1" applyFill="1" applyBorder="1" applyAlignment="1">
      <alignment horizontal="center" vertical="center"/>
    </xf>
    <xf numFmtId="0" fontId="17" fillId="9" borderId="16" xfId="0" applyFont="1" applyFill="1" applyBorder="1" applyAlignment="1">
      <alignment horizontal="center"/>
    </xf>
    <xf numFmtId="0" fontId="17" fillId="9" borderId="55" xfId="0" applyFont="1" applyFill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5" fillId="0" borderId="1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9" fontId="7" fillId="0" borderId="38" xfId="2" applyFont="1" applyBorder="1" applyAlignment="1">
      <alignment horizontal="center"/>
    </xf>
    <xf numFmtId="9" fontId="7" fillId="0" borderId="39" xfId="2" applyFont="1" applyBorder="1" applyAlignment="1">
      <alignment horizontal="center"/>
    </xf>
    <xf numFmtId="9" fontId="7" fillId="0" borderId="8" xfId="2" applyFont="1" applyBorder="1" applyAlignment="1">
      <alignment horizontal="center"/>
    </xf>
    <xf numFmtId="0" fontId="4" fillId="9" borderId="40" xfId="0" applyFont="1" applyFill="1" applyBorder="1" applyAlignment="1">
      <alignment horizontal="center" vertical="center"/>
    </xf>
    <xf numFmtId="0" fontId="4" fillId="9" borderId="41" xfId="0" applyFont="1" applyFill="1" applyBorder="1" applyAlignment="1">
      <alignment horizontal="center" vertical="center"/>
    </xf>
    <xf numFmtId="0" fontId="4" fillId="9" borderId="42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4" fillId="9" borderId="5" xfId="0" applyFont="1" applyFill="1" applyBorder="1" applyAlignment="1">
      <alignment horizontal="center" vertical="center"/>
    </xf>
    <xf numFmtId="0" fontId="17" fillId="9" borderId="38" xfId="0" applyFont="1" applyFill="1" applyBorder="1" applyAlignment="1">
      <alignment horizontal="center"/>
    </xf>
    <xf numFmtId="0" fontId="17" fillId="9" borderId="39" xfId="0" applyFont="1" applyFill="1" applyBorder="1" applyAlignment="1">
      <alignment horizontal="center"/>
    </xf>
    <xf numFmtId="0" fontId="17" fillId="9" borderId="8" xfId="0" applyFont="1" applyFill="1" applyBorder="1" applyAlignment="1">
      <alignment horizontal="center"/>
    </xf>
  </cellXfs>
  <cellStyles count="4">
    <cellStyle name="Hyperlink" xfId="1" builtinId="8"/>
    <cellStyle name="Normal" xfId="0" builtinId="0"/>
    <cellStyle name="Porcentagem" xfId="2" builtinId="5"/>
    <cellStyle name="Separador de milhares" xfId="3" builtinId="3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4</xdr:row>
      <xdr:rowOff>28575</xdr:rowOff>
    </xdr:from>
    <xdr:to>
      <xdr:col>0</xdr:col>
      <xdr:colOff>1419225</xdr:colOff>
      <xdr:row>6</xdr:row>
      <xdr:rowOff>66675</xdr:rowOff>
    </xdr:to>
    <xdr:pic>
      <xdr:nvPicPr>
        <xdr:cNvPr id="8195" name="Picture 2">
          <a:extLst>
            <a:ext uri="{FF2B5EF4-FFF2-40B4-BE49-F238E27FC236}">
              <a16:creationId xmlns:a16="http://schemas.microsoft.com/office/drawing/2014/main" xmlns="" id="{2AF89B78-F3B1-A1BB-9BEE-A865ACBA27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33350" y="742950"/>
          <a:ext cx="128587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85725</xdr:colOff>
      <xdr:row>7</xdr:row>
      <xdr:rowOff>9525</xdr:rowOff>
    </xdr:from>
    <xdr:to>
      <xdr:col>0</xdr:col>
      <xdr:colOff>2124075</xdr:colOff>
      <xdr:row>9</xdr:row>
      <xdr:rowOff>57150</xdr:rowOff>
    </xdr:to>
    <xdr:pic>
      <xdr:nvPicPr>
        <xdr:cNvPr id="8196" name="Picture 1">
          <a:extLst>
            <a:ext uri="{FF2B5EF4-FFF2-40B4-BE49-F238E27FC236}">
              <a16:creationId xmlns:a16="http://schemas.microsoft.com/office/drawing/2014/main" xmlns="" id="{5F56479A-6812-4AA3-C8DD-609677B4DF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85725" y="1209675"/>
          <a:ext cx="20383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23"/>
  <sheetViews>
    <sheetView tabSelected="1" view="pageBreakPreview" topLeftCell="A52" zoomScaleSheetLayoutView="100" workbookViewId="0">
      <selection activeCell="D271" sqref="D271"/>
    </sheetView>
  </sheetViews>
  <sheetFormatPr defaultRowHeight="12.75"/>
  <cols>
    <col min="1" max="1" width="44.5703125" style="9" customWidth="1"/>
    <col min="2" max="2" width="16" style="9" bestFit="1" customWidth="1"/>
    <col min="3" max="3" width="11.85546875" style="9" customWidth="1"/>
    <col min="4" max="4" width="14.7109375" style="10" customWidth="1"/>
    <col min="5" max="5" width="15.42578125" style="10" customWidth="1"/>
    <col min="6" max="6" width="13.28515625" style="10" customWidth="1"/>
    <col min="7" max="7" width="28.140625" style="10" customWidth="1"/>
    <col min="8" max="8" width="9.140625" style="9"/>
    <col min="9" max="9" width="14.5703125" style="9" customWidth="1"/>
    <col min="10" max="10" width="13.42578125" style="9" customWidth="1"/>
    <col min="11" max="16384" width="9.140625" style="9"/>
  </cols>
  <sheetData>
    <row r="1" spans="1:7" s="8" customFormat="1" ht="18">
      <c r="A1" s="292" t="s">
        <v>225</v>
      </c>
      <c r="B1" s="293"/>
      <c r="C1" s="293"/>
      <c r="D1" s="293"/>
      <c r="E1" s="293"/>
      <c r="F1" s="294"/>
      <c r="G1" s="35"/>
    </row>
    <row r="2" spans="1:7" s="8" customFormat="1" ht="21.75" customHeight="1">
      <c r="A2" s="295" t="s">
        <v>45</v>
      </c>
      <c r="B2" s="296"/>
      <c r="C2" s="296"/>
      <c r="D2" s="296"/>
      <c r="E2" s="296"/>
      <c r="F2" s="297"/>
      <c r="G2" s="35"/>
    </row>
    <row r="3" spans="1:7" s="4" customFormat="1" ht="10.9" customHeight="1" thickBot="1">
      <c r="A3" s="140"/>
      <c r="B3" s="5"/>
      <c r="C3" s="5"/>
      <c r="D3" s="141"/>
      <c r="E3" s="141"/>
      <c r="F3" s="142"/>
      <c r="G3" s="6"/>
    </row>
    <row r="4" spans="1:7" s="4" customFormat="1" ht="15.75" customHeight="1" thickBot="1">
      <c r="A4" s="301" t="s">
        <v>210</v>
      </c>
      <c r="B4" s="302"/>
      <c r="C4" s="302"/>
      <c r="D4" s="302"/>
      <c r="E4" s="302"/>
      <c r="F4" s="303"/>
      <c r="G4" s="6"/>
    </row>
    <row r="5" spans="1:7" s="4" customFormat="1" ht="15.75" customHeight="1">
      <c r="A5" s="61" t="s">
        <v>209</v>
      </c>
      <c r="B5" s="39"/>
      <c r="C5" s="39"/>
      <c r="D5" s="238"/>
      <c r="E5" s="110" t="s">
        <v>40</v>
      </c>
      <c r="F5" s="40" t="s">
        <v>2</v>
      </c>
      <c r="G5" s="6"/>
    </row>
    <row r="6" spans="1:7" s="11" customFormat="1" ht="15.75" customHeight="1">
      <c r="A6" s="119" t="str">
        <f>A44</f>
        <v>1. Mão-de-obra</v>
      </c>
      <c r="B6" s="120"/>
      <c r="C6" s="121"/>
      <c r="D6" s="121"/>
      <c r="E6" s="235">
        <f>+F134</f>
        <v>8419.3559839462396</v>
      </c>
      <c r="F6" s="122">
        <f>IFERROR(E6/$E$27,0)</f>
        <v>0.18389366204739035</v>
      </c>
      <c r="G6" s="43"/>
    </row>
    <row r="7" spans="1:7" s="4" customFormat="1" ht="15.75" customHeight="1">
      <c r="A7" s="48" t="str">
        <f>A46</f>
        <v>1.1. Coletor Turno Dia</v>
      </c>
      <c r="B7" s="44"/>
      <c r="C7" s="46"/>
      <c r="D7" s="46"/>
      <c r="E7" s="236">
        <f>F57</f>
        <v>4466.39309082624</v>
      </c>
      <c r="F7" s="55">
        <f>IFERROR(E7/$E$27,0)</f>
        <v>9.7553943933634285E-2</v>
      </c>
      <c r="G7" s="6"/>
    </row>
    <row r="8" spans="1:7" s="4" customFormat="1" ht="15.75" customHeight="1">
      <c r="A8" s="48" t="str">
        <f>A59</f>
        <v>1.2. Coletor Turno Noite</v>
      </c>
      <c r="B8" s="44"/>
      <c r="C8" s="46"/>
      <c r="D8" s="46"/>
      <c r="E8" s="236">
        <f>F76</f>
        <v>0</v>
      </c>
      <c r="F8" s="55">
        <f t="shared" ref="F8:F26" si="0">IFERROR(E8/$E$27,0)</f>
        <v>0</v>
      </c>
      <c r="G8" s="6"/>
    </row>
    <row r="9" spans="1:7" s="4" customFormat="1" ht="15.75" customHeight="1">
      <c r="A9" s="48" t="str">
        <f>A78</f>
        <v>1.3. Motorista Turno do Dia</v>
      </c>
      <c r="B9" s="44"/>
      <c r="C9" s="46"/>
      <c r="D9" s="46"/>
      <c r="E9" s="236">
        <f>F91</f>
        <v>3080.9628931199995</v>
      </c>
      <c r="F9" s="55">
        <f t="shared" si="0"/>
        <v>6.7293692074343464E-2</v>
      </c>
      <c r="G9" s="6"/>
    </row>
    <row r="10" spans="1:7" s="4" customFormat="1" ht="15.75" customHeight="1">
      <c r="A10" s="48" t="str">
        <f>A93</f>
        <v>1.4. Motorista Turno Noite</v>
      </c>
      <c r="B10" s="44"/>
      <c r="C10" s="46"/>
      <c r="D10" s="46"/>
      <c r="E10" s="236">
        <f>F112</f>
        <v>0</v>
      </c>
      <c r="F10" s="55">
        <f t="shared" si="0"/>
        <v>0</v>
      </c>
      <c r="G10" s="6"/>
    </row>
    <row r="11" spans="1:7" s="4" customFormat="1" ht="15.75" customHeight="1">
      <c r="A11" s="48" t="str">
        <f>A114</f>
        <v>1.5. Vale Transporte</v>
      </c>
      <c r="B11" s="44"/>
      <c r="C11" s="46"/>
      <c r="D11" s="46"/>
      <c r="E11" s="236">
        <f>F120</f>
        <v>0</v>
      </c>
      <c r="F11" s="55">
        <f t="shared" si="0"/>
        <v>0</v>
      </c>
      <c r="G11" s="6"/>
    </row>
    <row r="12" spans="1:7" s="4" customFormat="1" ht="15.75" customHeight="1">
      <c r="A12" s="48" t="str">
        <f>A122</f>
        <v>1.6. Vale-refeição (diário)</v>
      </c>
      <c r="B12" s="44"/>
      <c r="C12" s="46"/>
      <c r="D12" s="46"/>
      <c r="E12" s="236">
        <f>F126</f>
        <v>728</v>
      </c>
      <c r="F12" s="55">
        <f t="shared" si="0"/>
        <v>1.5900810730151805E-2</v>
      </c>
      <c r="G12" s="6"/>
    </row>
    <row r="13" spans="1:7" s="4" customFormat="1" ht="15.75" customHeight="1">
      <c r="A13" s="48" t="str">
        <f>A128</f>
        <v>1.7. Auxílio Alimentação (mensal)</v>
      </c>
      <c r="B13" s="44"/>
      <c r="C13" s="46"/>
      <c r="D13" s="46"/>
      <c r="E13" s="236">
        <f>F132</f>
        <v>144</v>
      </c>
      <c r="F13" s="55">
        <f t="shared" si="0"/>
        <v>3.1452153092607965E-3</v>
      </c>
      <c r="G13" s="6"/>
    </row>
    <row r="14" spans="1:7" s="11" customFormat="1" ht="15.75" customHeight="1">
      <c r="A14" s="290" t="str">
        <f>A136</f>
        <v>2. Uniformes e Equipamentos de Proteção Individual</v>
      </c>
      <c r="B14" s="291"/>
      <c r="C14" s="291"/>
      <c r="D14" s="121"/>
      <c r="E14" s="235">
        <f>+F168</f>
        <v>422.05000000000007</v>
      </c>
      <c r="F14" s="122">
        <f t="shared" si="0"/>
        <v>9.2183202866216625E-3</v>
      </c>
      <c r="G14" s="43"/>
    </row>
    <row r="15" spans="1:7" s="11" customFormat="1" ht="15.75" customHeight="1">
      <c r="A15" s="130" t="str">
        <f>A170</f>
        <v>3. Veículos e Equipamentos</v>
      </c>
      <c r="B15" s="131"/>
      <c r="C15" s="121"/>
      <c r="D15" s="121"/>
      <c r="E15" s="235">
        <f>+F247</f>
        <v>14799.322733928571</v>
      </c>
      <c r="F15" s="122">
        <f t="shared" si="0"/>
        <v>0.32324344742669092</v>
      </c>
      <c r="G15" s="43"/>
    </row>
    <row r="16" spans="1:7" s="4" customFormat="1" ht="15.75" customHeight="1">
      <c r="A16" s="62" t="str">
        <f>A172</f>
        <v>3.1. Veículo Coletor Compactador xx m³</v>
      </c>
      <c r="B16" s="45"/>
      <c r="C16" s="46"/>
      <c r="D16" s="46"/>
      <c r="E16" s="236">
        <f>SUM(E17:E22)</f>
        <v>14799.322733928571</v>
      </c>
      <c r="F16" s="135">
        <f t="shared" si="0"/>
        <v>0.32324344742669092</v>
      </c>
      <c r="G16" s="6"/>
    </row>
    <row r="17" spans="1:7" s="4" customFormat="1" ht="15.75" customHeight="1">
      <c r="A17" s="62" t="str">
        <f>A174</f>
        <v>3.1.1. Depreciação</v>
      </c>
      <c r="B17" s="45"/>
      <c r="C17" s="46"/>
      <c r="D17" s="46"/>
      <c r="E17" s="236">
        <f>F188</f>
        <v>1002.7185714285715</v>
      </c>
      <c r="F17" s="135">
        <f t="shared" si="0"/>
        <v>2.1901151400953184E-2</v>
      </c>
      <c r="G17" s="6"/>
    </row>
    <row r="18" spans="1:7" s="4" customFormat="1" ht="15.75" customHeight="1">
      <c r="A18" s="62" t="str">
        <f>A190</f>
        <v>3.1.2. Remuneração do Capital</v>
      </c>
      <c r="B18" s="45"/>
      <c r="C18" s="46"/>
      <c r="D18" s="46"/>
      <c r="E18" s="236">
        <f>F204</f>
        <v>822.60036249999973</v>
      </c>
      <c r="F18" s="135">
        <f t="shared" si="0"/>
        <v>1.7967050371794999E-2</v>
      </c>
      <c r="G18" s="6"/>
    </row>
    <row r="19" spans="1:7" s="4" customFormat="1" ht="15.75" customHeight="1">
      <c r="A19" s="62" t="str">
        <f>A206</f>
        <v>3.1.3. Impostos e Seguros</v>
      </c>
      <c r="B19" s="45"/>
      <c r="C19" s="46"/>
      <c r="D19" s="46"/>
      <c r="E19" s="236">
        <f>F212</f>
        <v>522.20500000000004</v>
      </c>
      <c r="F19" s="135">
        <f t="shared" si="0"/>
        <v>1.1405883059531489E-2</v>
      </c>
      <c r="G19" s="6"/>
    </row>
    <row r="20" spans="1:7" s="4" customFormat="1" ht="15.75" customHeight="1">
      <c r="A20" s="62" t="str">
        <f>A214</f>
        <v>3.1.4. Consumos</v>
      </c>
      <c r="B20" s="45"/>
      <c r="C20" s="46"/>
      <c r="D20" s="46"/>
      <c r="E20" s="236">
        <f>F230</f>
        <v>8216.2423200000012</v>
      </c>
      <c r="F20" s="135">
        <f t="shared" si="0"/>
        <v>0.179457299510142</v>
      </c>
      <c r="G20" s="6"/>
    </row>
    <row r="21" spans="1:7" s="4" customFormat="1" ht="15.75" customHeight="1">
      <c r="A21" s="62" t="str">
        <f>A232</f>
        <v>3.1.5. Manutenção</v>
      </c>
      <c r="B21" s="45"/>
      <c r="C21" s="46"/>
      <c r="D21" s="46"/>
      <c r="E21" s="236">
        <f>F235</f>
        <v>2378.64</v>
      </c>
      <c r="F21" s="135">
        <f t="shared" si="0"/>
        <v>5.1953714883472925E-2</v>
      </c>
      <c r="G21" s="6"/>
    </row>
    <row r="22" spans="1:7" s="4" customFormat="1" ht="15.75" customHeight="1">
      <c r="A22" s="62" t="str">
        <f>A237</f>
        <v>3.1.6. Pneus</v>
      </c>
      <c r="B22" s="45"/>
      <c r="C22" s="46"/>
      <c r="D22" s="46"/>
      <c r="E22" s="236">
        <f>F244</f>
        <v>1856.9164800000001</v>
      </c>
      <c r="F22" s="135">
        <f t="shared" si="0"/>
        <v>4.0558348200796318E-2</v>
      </c>
      <c r="G22" s="6"/>
    </row>
    <row r="23" spans="1:7" s="11" customFormat="1" ht="15.75" customHeight="1">
      <c r="A23" s="130" t="str">
        <f>A249</f>
        <v>4. Ferramentas e Materiais de Consumo</v>
      </c>
      <c r="B23" s="131"/>
      <c r="C23" s="121"/>
      <c r="D23" s="121"/>
      <c r="E23" s="235">
        <f>+F259</f>
        <v>520</v>
      </c>
      <c r="F23" s="122">
        <f t="shared" si="0"/>
        <v>1.1357721950108432E-2</v>
      </c>
      <c r="G23" s="43"/>
    </row>
    <row r="24" spans="1:7" s="11" customFormat="1" ht="15.75" customHeight="1">
      <c r="A24" s="130" t="str">
        <f>A261</f>
        <v>5. Monitoramento da Frota</v>
      </c>
      <c r="B24" s="131"/>
      <c r="C24" s="121"/>
      <c r="D24" s="121"/>
      <c r="E24" s="235">
        <f>+F270</f>
        <v>137</v>
      </c>
      <c r="F24" s="122">
        <f t="shared" si="0"/>
        <v>2.9923228983939525E-3</v>
      </c>
      <c r="G24" s="43"/>
    </row>
    <row r="25" spans="1:7" s="11" customFormat="1" ht="15.75" customHeight="1">
      <c r="A25" s="130" t="s">
        <v>298</v>
      </c>
      <c r="B25" s="131"/>
      <c r="C25" s="121"/>
      <c r="D25" s="121"/>
      <c r="E25" s="283">
        <f>F271</f>
        <v>13230</v>
      </c>
      <c r="F25" s="122">
        <f t="shared" si="0"/>
        <v>0.2889666565383357</v>
      </c>
      <c r="G25" s="43"/>
    </row>
    <row r="26" spans="1:7" s="11" customFormat="1" ht="15.75" customHeight="1" thickBot="1">
      <c r="A26" s="130" t="str">
        <f>A275</f>
        <v>7. Benefícios e Despesas Indiretas - BDI</v>
      </c>
      <c r="B26" s="131"/>
      <c r="C26" s="121"/>
      <c r="D26" s="121"/>
      <c r="E26" s="237">
        <f>+F281</f>
        <v>8256.100317932458</v>
      </c>
      <c r="F26" s="122">
        <f t="shared" si="0"/>
        <v>0.18032786885245899</v>
      </c>
      <c r="G26" s="43"/>
    </row>
    <row r="27" spans="1:7" s="4" customFormat="1" ht="15.75" customHeight="1" thickBot="1">
      <c r="A27" s="41" t="s">
        <v>245</v>
      </c>
      <c r="B27" s="42"/>
      <c r="C27" s="26"/>
      <c r="D27" s="26"/>
      <c r="E27" s="109">
        <f>E6+E14+E15+E23+E24+E26+E25</f>
        <v>45783.82903580727</v>
      </c>
      <c r="F27" s="134">
        <f>F6+F14+F15+F23+F24+F26+F25</f>
        <v>1</v>
      </c>
      <c r="G27" s="6"/>
    </row>
    <row r="29" spans="1:7" ht="13.5" thickBot="1"/>
    <row r="30" spans="1:7" s="4" customFormat="1" ht="15" customHeight="1" thickBot="1">
      <c r="A30" s="301" t="s">
        <v>100</v>
      </c>
      <c r="B30" s="302"/>
      <c r="C30" s="302"/>
      <c r="D30" s="302"/>
      <c r="E30" s="303"/>
      <c r="F30" s="10"/>
      <c r="G30" s="6"/>
    </row>
    <row r="31" spans="1:7" s="4" customFormat="1" ht="15" customHeight="1" thickBot="1">
      <c r="A31" s="298" t="s">
        <v>41</v>
      </c>
      <c r="B31" s="299"/>
      <c r="C31" s="299"/>
      <c r="D31" s="300"/>
      <c r="E31" s="47" t="s">
        <v>42</v>
      </c>
      <c r="F31" s="10"/>
      <c r="G31" s="6"/>
    </row>
    <row r="32" spans="1:7" s="4" customFormat="1" ht="15" customHeight="1">
      <c r="A32" s="70" t="str">
        <f>+A46</f>
        <v>1.1. Coletor Turno Dia</v>
      </c>
      <c r="B32" s="71"/>
      <c r="C32" s="71"/>
      <c r="D32" s="72"/>
      <c r="E32" s="73">
        <v>2</v>
      </c>
      <c r="F32" s="10"/>
      <c r="G32" s="6"/>
    </row>
    <row r="33" spans="1:7" s="4" customFormat="1" ht="15" customHeight="1">
      <c r="A33" s="64" t="str">
        <f>+A59</f>
        <v>1.2. Coletor Turno Noite</v>
      </c>
      <c r="B33" s="63"/>
      <c r="C33" s="63"/>
      <c r="D33" s="74"/>
      <c r="E33" s="67">
        <f>C75</f>
        <v>0</v>
      </c>
      <c r="F33" s="10"/>
      <c r="G33" s="6"/>
    </row>
    <row r="34" spans="1:7" s="4" customFormat="1" ht="15" customHeight="1">
      <c r="A34" s="64" t="str">
        <f>+A78</f>
        <v>1.3. Motorista Turno do Dia</v>
      </c>
      <c r="B34" s="63"/>
      <c r="C34" s="63"/>
      <c r="D34" s="74"/>
      <c r="E34" s="67">
        <v>1</v>
      </c>
      <c r="F34" s="10"/>
      <c r="G34" s="6"/>
    </row>
    <row r="35" spans="1:7" s="4" customFormat="1" ht="15" customHeight="1">
      <c r="A35" s="64" t="str">
        <f>+A93</f>
        <v>1.4. Motorista Turno Noite</v>
      </c>
      <c r="B35" s="63"/>
      <c r="C35" s="63"/>
      <c r="D35" s="74"/>
      <c r="E35" s="67">
        <f>C111</f>
        <v>0</v>
      </c>
      <c r="F35" s="10"/>
      <c r="G35" s="6"/>
    </row>
    <row r="36" spans="1:7" s="4" customFormat="1" ht="15" customHeight="1" thickBot="1">
      <c r="A36" s="68" t="s">
        <v>60</v>
      </c>
      <c r="B36" s="69"/>
      <c r="C36" s="69"/>
      <c r="D36" s="75"/>
      <c r="E36" s="76">
        <f>SUM(E32:E35)</f>
        <v>3</v>
      </c>
      <c r="F36" s="10"/>
      <c r="G36" s="6"/>
    </row>
    <row r="37" spans="1:7" s="4" customFormat="1" ht="15" customHeight="1" thickBot="1">
      <c r="A37" s="123"/>
      <c r="B37" s="124"/>
      <c r="C37" s="56"/>
      <c r="D37" s="56"/>
      <c r="E37" s="125"/>
      <c r="F37" s="10"/>
      <c r="G37" s="6"/>
    </row>
    <row r="38" spans="1:7" s="4" customFormat="1" ht="15" customHeight="1">
      <c r="A38" s="288" t="s">
        <v>57</v>
      </c>
      <c r="B38" s="289"/>
      <c r="C38" s="289"/>
      <c r="D38" s="289"/>
      <c r="E38" s="47" t="s">
        <v>42</v>
      </c>
      <c r="F38" s="9"/>
      <c r="G38" s="6"/>
    </row>
    <row r="39" spans="1:7" s="4" customFormat="1" ht="15" customHeight="1" thickBot="1">
      <c r="A39" s="126" t="str">
        <f>+A172</f>
        <v>3.1. Veículo Coletor Compactador xx m³</v>
      </c>
      <c r="B39" s="127"/>
      <c r="C39" s="127"/>
      <c r="D39" s="128"/>
      <c r="E39" s="129">
        <v>1</v>
      </c>
      <c r="F39" s="9"/>
      <c r="G39" s="6"/>
    </row>
    <row r="40" spans="1:7" s="4" customFormat="1" ht="15" customHeight="1">
      <c r="A40" s="56"/>
      <c r="B40" s="56"/>
      <c r="C40" s="56"/>
      <c r="D40" s="9"/>
      <c r="E40" s="229"/>
      <c r="F40" s="9"/>
      <c r="G40" s="6"/>
    </row>
    <row r="41" spans="1:7" s="4" customFormat="1" ht="13.5" thickBot="1">
      <c r="A41" s="56"/>
      <c r="B41" s="56"/>
      <c r="C41" s="56"/>
      <c r="D41" s="9"/>
      <c r="E41" s="65"/>
      <c r="F41" s="9"/>
      <c r="G41" s="6"/>
    </row>
    <row r="42" spans="1:7" s="11" customFormat="1" ht="15.75" customHeight="1" thickBot="1">
      <c r="A42" s="239" t="s">
        <v>204</v>
      </c>
      <c r="B42" s="240">
        <v>0.6</v>
      </c>
      <c r="C42" s="34"/>
      <c r="E42" s="143"/>
      <c r="G42" s="43"/>
    </row>
    <row r="43" spans="1:7" s="4" customFormat="1" ht="15.75" customHeight="1">
      <c r="A43" s="56"/>
      <c r="B43" s="56"/>
      <c r="C43" s="56"/>
      <c r="D43" s="9"/>
      <c r="E43" s="65"/>
      <c r="F43" s="9"/>
      <c r="G43" s="6"/>
    </row>
    <row r="44" spans="1:7" ht="13.15" customHeight="1">
      <c r="A44" s="11" t="s">
        <v>49</v>
      </c>
    </row>
    <row r="45" spans="1:7" ht="11.25" customHeight="1"/>
    <row r="46" spans="1:7" ht="13.9" customHeight="1" thickBot="1">
      <c r="A46" s="9" t="s">
        <v>103</v>
      </c>
    </row>
    <row r="47" spans="1:7" ht="13.9" customHeight="1" thickBot="1">
      <c r="A47" s="57" t="s">
        <v>65</v>
      </c>
      <c r="B47" s="58" t="s">
        <v>66</v>
      </c>
      <c r="C47" s="58" t="s">
        <v>42</v>
      </c>
      <c r="D47" s="59" t="s">
        <v>241</v>
      </c>
      <c r="E47" s="59" t="s">
        <v>67</v>
      </c>
      <c r="F47" s="60" t="s">
        <v>68</v>
      </c>
    </row>
    <row r="48" spans="1:7" ht="13.15" customHeight="1">
      <c r="A48" s="13" t="s">
        <v>219</v>
      </c>
      <c r="B48" s="14" t="s">
        <v>8</v>
      </c>
      <c r="C48" s="14">
        <v>1</v>
      </c>
      <c r="D48" s="82">
        <v>1558.4</v>
      </c>
      <c r="E48" s="15">
        <f>C48*D48</f>
        <v>1558.4</v>
      </c>
    </row>
    <row r="49" spans="1:7">
      <c r="A49" s="16" t="s">
        <v>36</v>
      </c>
      <c r="B49" s="17" t="s">
        <v>0</v>
      </c>
      <c r="C49" s="83"/>
      <c r="D49" s="18">
        <f>D48/220*2</f>
        <v>14.167272727272728</v>
      </c>
      <c r="E49" s="18">
        <f>C49*D49</f>
        <v>0</v>
      </c>
    </row>
    <row r="50" spans="1:7" ht="13.15" customHeight="1">
      <c r="A50" s="16" t="s">
        <v>37</v>
      </c>
      <c r="B50" s="17" t="s">
        <v>0</v>
      </c>
      <c r="C50" s="83"/>
      <c r="D50" s="18">
        <f>D48/220*1.5</f>
        <v>10.625454545454545</v>
      </c>
      <c r="E50" s="18">
        <f>C50*D50</f>
        <v>0</v>
      </c>
    </row>
    <row r="51" spans="1:7" ht="13.15" customHeight="1">
      <c r="A51" s="16" t="s">
        <v>222</v>
      </c>
      <c r="B51" s="17" t="s">
        <v>35</v>
      </c>
      <c r="D51" s="18">
        <f>63/302*(SUM(E49:E50))</f>
        <v>0</v>
      </c>
      <c r="E51" s="18">
        <f>D51</f>
        <v>0</v>
      </c>
    </row>
    <row r="52" spans="1:7">
      <c r="A52" s="16" t="s">
        <v>1</v>
      </c>
      <c r="B52" s="17" t="s">
        <v>2</v>
      </c>
      <c r="C52" s="17">
        <v>40</v>
      </c>
      <c r="D52" s="78">
        <f>SUM(E48:E51)</f>
        <v>1558.4</v>
      </c>
      <c r="E52" s="18">
        <f>C52*D52/100</f>
        <v>623.36</v>
      </c>
    </row>
    <row r="53" spans="1:7">
      <c r="A53" s="111" t="s">
        <v>3</v>
      </c>
      <c r="B53" s="112"/>
      <c r="C53" s="112"/>
      <c r="D53" s="113"/>
      <c r="E53" s="114">
        <f>SUM(E48:E52)</f>
        <v>2181.7600000000002</v>
      </c>
    </row>
    <row r="54" spans="1:7">
      <c r="A54" s="16" t="s">
        <v>4</v>
      </c>
      <c r="B54" s="17" t="s">
        <v>2</v>
      </c>
      <c r="C54" s="132">
        <f>'2.Encargos Sociais'!$C$31*100</f>
        <v>70.595951999999997</v>
      </c>
      <c r="D54" s="18">
        <f>E53</f>
        <v>2181.7600000000002</v>
      </c>
      <c r="E54" s="18">
        <f>D54*C54/100</f>
        <v>1540.2342423552002</v>
      </c>
    </row>
    <row r="55" spans="1:7">
      <c r="A55" s="111" t="s">
        <v>75</v>
      </c>
      <c r="B55" s="112"/>
      <c r="C55" s="112"/>
      <c r="D55" s="113"/>
      <c r="E55" s="114">
        <f>E53+E54</f>
        <v>3721.9942423552002</v>
      </c>
    </row>
    <row r="56" spans="1:7" ht="13.5" thickBot="1">
      <c r="A56" s="16" t="s">
        <v>5</v>
      </c>
      <c r="B56" s="17" t="s">
        <v>6</v>
      </c>
      <c r="C56" s="81">
        <v>2</v>
      </c>
      <c r="D56" s="18">
        <f>E55</f>
        <v>3721.9942423552002</v>
      </c>
      <c r="E56" s="18">
        <f>C56*D56</f>
        <v>7443.9884847104004</v>
      </c>
      <c r="G56" s="6"/>
    </row>
    <row r="57" spans="1:7" ht="13.9" customHeight="1" thickBot="1">
      <c r="D57" s="117" t="s">
        <v>203</v>
      </c>
      <c r="E57" s="49">
        <v>0.6</v>
      </c>
      <c r="F57" s="118">
        <f>E56*E57</f>
        <v>4466.39309082624</v>
      </c>
      <c r="G57" s="6"/>
    </row>
    <row r="58" spans="1:7" ht="11.25" customHeight="1"/>
    <row r="59" spans="1:7" ht="13.5" thickBot="1">
      <c r="A59" s="9" t="s">
        <v>93</v>
      </c>
    </row>
    <row r="60" spans="1:7" ht="13.5" thickBot="1">
      <c r="A60" s="57" t="s">
        <v>65</v>
      </c>
      <c r="B60" s="58" t="s">
        <v>66</v>
      </c>
      <c r="C60" s="58" t="s">
        <v>42</v>
      </c>
      <c r="D60" s="59" t="s">
        <v>241</v>
      </c>
      <c r="E60" s="59" t="s">
        <v>67</v>
      </c>
      <c r="F60" s="60" t="s">
        <v>68</v>
      </c>
    </row>
    <row r="61" spans="1:7">
      <c r="A61" s="13" t="s">
        <v>219</v>
      </c>
      <c r="B61" s="14" t="s">
        <v>8</v>
      </c>
      <c r="C61" s="14">
        <v>1</v>
      </c>
      <c r="D61" s="15">
        <v>1558.4</v>
      </c>
      <c r="E61" s="15">
        <f>C61*D61</f>
        <v>1558.4</v>
      </c>
    </row>
    <row r="62" spans="1:7">
      <c r="A62" s="16" t="s">
        <v>7</v>
      </c>
      <c r="B62" s="17" t="s">
        <v>101</v>
      </c>
      <c r="C62" s="83"/>
      <c r="D62" s="18"/>
      <c r="E62" s="18"/>
    </row>
    <row r="63" spans="1:7">
      <c r="A63" s="16"/>
      <c r="B63" s="17" t="s">
        <v>106</v>
      </c>
      <c r="C63" s="115">
        <f>C62*8/7</f>
        <v>0</v>
      </c>
      <c r="D63" s="18">
        <f>D61/220*0.2</f>
        <v>1.4167272727272728</v>
      </c>
      <c r="E63" s="18">
        <f>C63*D63</f>
        <v>0</v>
      </c>
    </row>
    <row r="64" spans="1:7">
      <c r="A64" s="16" t="s">
        <v>36</v>
      </c>
      <c r="B64" s="17" t="s">
        <v>0</v>
      </c>
      <c r="C64" s="83"/>
      <c r="D64" s="18">
        <f>D61/220*2</f>
        <v>14.167272727272728</v>
      </c>
      <c r="E64" s="18">
        <f>C64*D64</f>
        <v>0</v>
      </c>
    </row>
    <row r="65" spans="1:7">
      <c r="A65" s="16" t="s">
        <v>102</v>
      </c>
      <c r="B65" s="17" t="s">
        <v>101</v>
      </c>
      <c r="C65" s="83"/>
      <c r="D65" s="18"/>
      <c r="E65" s="18"/>
    </row>
    <row r="66" spans="1:7">
      <c r="A66" s="16"/>
      <c r="B66" s="17" t="s">
        <v>106</v>
      </c>
      <c r="C66" s="115">
        <f>C65*8/7</f>
        <v>0</v>
      </c>
      <c r="D66" s="18">
        <f>D61/220*2*1.2</f>
        <v>17.000727272727271</v>
      </c>
      <c r="E66" s="18">
        <f>C66*D66</f>
        <v>0</v>
      </c>
    </row>
    <row r="67" spans="1:7">
      <c r="A67" s="16" t="s">
        <v>37</v>
      </c>
      <c r="B67" s="17" t="s">
        <v>0</v>
      </c>
      <c r="C67" s="83"/>
      <c r="D67" s="18">
        <f>D61/220*1.5</f>
        <v>10.625454545454545</v>
      </c>
      <c r="E67" s="18">
        <f>C67*D67</f>
        <v>0</v>
      </c>
    </row>
    <row r="68" spans="1:7">
      <c r="A68" s="16" t="s">
        <v>221</v>
      </c>
      <c r="B68" s="17" t="s">
        <v>101</v>
      </c>
      <c r="C68" s="83"/>
      <c r="D68" s="18"/>
      <c r="E68" s="18"/>
    </row>
    <row r="69" spans="1:7">
      <c r="A69" s="16"/>
      <c r="B69" s="17" t="s">
        <v>106</v>
      </c>
      <c r="C69" s="18">
        <f>C68*8/7</f>
        <v>0</v>
      </c>
      <c r="D69" s="18">
        <f>D61/220*1.5*1.2</f>
        <v>12.750545454545454</v>
      </c>
      <c r="E69" s="18">
        <f>C69*D69</f>
        <v>0</v>
      </c>
    </row>
    <row r="70" spans="1:7" ht="13.15" customHeight="1">
      <c r="A70" s="16" t="s">
        <v>222</v>
      </c>
      <c r="B70" s="17" t="s">
        <v>35</v>
      </c>
      <c r="D70" s="18">
        <f>63/302*(SUM(E64:E69))</f>
        <v>0</v>
      </c>
      <c r="E70" s="18">
        <f>D70</f>
        <v>0</v>
      </c>
    </row>
    <row r="71" spans="1:7">
      <c r="A71" s="16" t="s">
        <v>1</v>
      </c>
      <c r="B71" s="17" t="s">
        <v>2</v>
      </c>
      <c r="C71" s="17">
        <f>+C52</f>
        <v>40</v>
      </c>
      <c r="D71" s="78">
        <f>SUM(E61:E70)</f>
        <v>1558.4</v>
      </c>
      <c r="E71" s="18">
        <f>C71*D71/100</f>
        <v>623.36</v>
      </c>
    </row>
    <row r="72" spans="1:7">
      <c r="A72" s="111" t="s">
        <v>3</v>
      </c>
      <c r="B72" s="112"/>
      <c r="C72" s="112"/>
      <c r="D72" s="113"/>
      <c r="E72" s="114">
        <f>SUM(E61:E71)</f>
        <v>2181.7600000000002</v>
      </c>
    </row>
    <row r="73" spans="1:7">
      <c r="A73" s="16" t="s">
        <v>4</v>
      </c>
      <c r="B73" s="17" t="s">
        <v>2</v>
      </c>
      <c r="C73" s="132">
        <f>'2.Encargos Sociais'!$C$31*100</f>
        <v>70.595951999999997</v>
      </c>
      <c r="D73" s="18">
        <f>E72</f>
        <v>2181.7600000000002</v>
      </c>
      <c r="E73" s="18">
        <f>D73*C73/100</f>
        <v>1540.2342423552002</v>
      </c>
    </row>
    <row r="74" spans="1:7">
      <c r="A74" s="111" t="s">
        <v>75</v>
      </c>
      <c r="B74" s="112"/>
      <c r="C74" s="112"/>
      <c r="D74" s="113"/>
      <c r="E74" s="114">
        <f>E72+E73</f>
        <v>3721.9942423552002</v>
      </c>
    </row>
    <row r="75" spans="1:7" ht="13.5" thickBot="1">
      <c r="A75" s="16" t="s">
        <v>5</v>
      </c>
      <c r="B75" s="17" t="s">
        <v>6</v>
      </c>
      <c r="C75" s="81"/>
      <c r="D75" s="18">
        <f>E74</f>
        <v>3721.9942423552002</v>
      </c>
      <c r="E75" s="18">
        <f>C75*D75</f>
        <v>0</v>
      </c>
    </row>
    <row r="76" spans="1:7" ht="13.5" thickBot="1">
      <c r="D76" s="117" t="s">
        <v>203</v>
      </c>
      <c r="E76" s="49">
        <f>$B$42</f>
        <v>0.6</v>
      </c>
      <c r="F76" s="118">
        <f>E75*E76</f>
        <v>0</v>
      </c>
    </row>
    <row r="77" spans="1:7" ht="11.25" customHeight="1"/>
    <row r="78" spans="1:7" ht="13.5" thickBot="1">
      <c r="A78" s="9" t="s">
        <v>104</v>
      </c>
    </row>
    <row r="79" spans="1:7" s="12" customFormat="1" ht="13.15" customHeight="1" thickBot="1">
      <c r="A79" s="57" t="s">
        <v>65</v>
      </c>
      <c r="B79" s="58" t="s">
        <v>66</v>
      </c>
      <c r="C79" s="58" t="s">
        <v>42</v>
      </c>
      <c r="D79" s="59" t="s">
        <v>241</v>
      </c>
      <c r="E79" s="59" t="s">
        <v>67</v>
      </c>
      <c r="F79" s="60" t="s">
        <v>68</v>
      </c>
      <c r="G79" s="10"/>
    </row>
    <row r="80" spans="1:7">
      <c r="A80" s="277" t="s">
        <v>287</v>
      </c>
      <c r="B80" s="14" t="s">
        <v>8</v>
      </c>
      <c r="C80" s="14">
        <v>1</v>
      </c>
      <c r="D80" s="82">
        <v>3010</v>
      </c>
      <c r="E80" s="15">
        <f>C80*D80</f>
        <v>3010</v>
      </c>
    </row>
    <row r="81" spans="1:7">
      <c r="A81" s="277" t="s">
        <v>288</v>
      </c>
      <c r="B81" s="14" t="s">
        <v>8</v>
      </c>
      <c r="C81" s="14">
        <v>1</v>
      </c>
      <c r="D81" s="82">
        <v>1320</v>
      </c>
      <c r="E81" s="15"/>
    </row>
    <row r="82" spans="1:7">
      <c r="A82" s="16" t="s">
        <v>36</v>
      </c>
      <c r="B82" s="17" t="s">
        <v>0</v>
      </c>
      <c r="C82" s="83"/>
      <c r="D82" s="18">
        <f>D80/220*2</f>
        <v>27.363636363636363</v>
      </c>
      <c r="E82" s="18">
        <f>C82*D82</f>
        <v>0</v>
      </c>
    </row>
    <row r="83" spans="1:7">
      <c r="A83" s="16" t="s">
        <v>37</v>
      </c>
      <c r="B83" s="17" t="s">
        <v>0</v>
      </c>
      <c r="C83" s="83"/>
      <c r="D83" s="18">
        <f>D80/220*1.5</f>
        <v>20.522727272727273</v>
      </c>
      <c r="E83" s="18">
        <f>C83*D83</f>
        <v>0</v>
      </c>
    </row>
    <row r="84" spans="1:7" ht="13.15" customHeight="1">
      <c r="A84" s="16" t="s">
        <v>222</v>
      </c>
      <c r="B84" s="17" t="s">
        <v>35</v>
      </c>
      <c r="D84" s="18">
        <f>63/302*(SUM(E82:E83))</f>
        <v>0</v>
      </c>
      <c r="E84" s="18">
        <f>D84</f>
        <v>0</v>
      </c>
    </row>
    <row r="85" spans="1:7">
      <c r="A85" s="16" t="s">
        <v>220</v>
      </c>
      <c r="B85" s="17"/>
      <c r="C85" s="85"/>
      <c r="D85" s="18"/>
      <c r="E85" s="18"/>
    </row>
    <row r="86" spans="1:7">
      <c r="A86" s="16" t="s">
        <v>1</v>
      </c>
      <c r="B86" s="17" t="s">
        <v>2</v>
      </c>
      <c r="C86" s="81"/>
      <c r="D86" s="78">
        <f>IF(C85=2,SUM(E80:E84),IF(C85=1,(SUM(E80:E84))*D81/D80,0))</f>
        <v>0</v>
      </c>
      <c r="E86" s="18">
        <f>C86*D86/100</f>
        <v>0</v>
      </c>
    </row>
    <row r="87" spans="1:7" s="11" customFormat="1">
      <c r="A87" s="97" t="s">
        <v>3</v>
      </c>
      <c r="B87" s="112"/>
      <c r="C87" s="112"/>
      <c r="D87" s="113"/>
      <c r="E87" s="99">
        <f>SUM(E80:E86)</f>
        <v>3010</v>
      </c>
      <c r="F87" s="43"/>
      <c r="G87" s="43"/>
    </row>
    <row r="88" spans="1:7">
      <c r="A88" s="16" t="s">
        <v>4</v>
      </c>
      <c r="B88" s="17" t="s">
        <v>2</v>
      </c>
      <c r="C88" s="132">
        <f>'2.Encargos Sociais'!$C$31*100</f>
        <v>70.595951999999997</v>
      </c>
      <c r="D88" s="18">
        <f>E87</f>
        <v>3010</v>
      </c>
      <c r="E88" s="18">
        <f>D88*C88/100</f>
        <v>2124.9381552</v>
      </c>
    </row>
    <row r="89" spans="1:7" s="11" customFormat="1">
      <c r="A89" s="97" t="s">
        <v>253</v>
      </c>
      <c r="B89" s="246"/>
      <c r="C89" s="246"/>
      <c r="D89" s="247"/>
      <c r="E89" s="99">
        <f>E87+E88</f>
        <v>5134.9381551999995</v>
      </c>
      <c r="F89" s="43"/>
      <c r="G89" s="43"/>
    </row>
    <row r="90" spans="1:7" ht="13.5" thickBot="1">
      <c r="A90" s="16" t="s">
        <v>5</v>
      </c>
      <c r="B90" s="17" t="s">
        <v>6</v>
      </c>
      <c r="C90" s="81">
        <v>1</v>
      </c>
      <c r="D90" s="18">
        <f>E89</f>
        <v>5134.9381551999995</v>
      </c>
      <c r="E90" s="18">
        <f>C90*D90</f>
        <v>5134.9381551999995</v>
      </c>
    </row>
    <row r="91" spans="1:7" ht="13.5" thickBot="1">
      <c r="D91" s="117" t="s">
        <v>203</v>
      </c>
      <c r="E91" s="49">
        <v>0.6</v>
      </c>
      <c r="F91" s="118">
        <f>E90*E91</f>
        <v>3080.9628931199995</v>
      </c>
    </row>
    <row r="92" spans="1:7" ht="11.25" customHeight="1"/>
    <row r="93" spans="1:7" ht="13.5" thickBot="1">
      <c r="A93" s="9" t="s">
        <v>105</v>
      </c>
    </row>
    <row r="94" spans="1:7" ht="13.5" thickBot="1">
      <c r="A94" s="57" t="s">
        <v>65</v>
      </c>
      <c r="B94" s="58" t="s">
        <v>66</v>
      </c>
      <c r="C94" s="58" t="s">
        <v>42</v>
      </c>
      <c r="D94" s="59" t="s">
        <v>241</v>
      </c>
      <c r="E94" s="59" t="s">
        <v>67</v>
      </c>
      <c r="F94" s="60" t="s">
        <v>68</v>
      </c>
    </row>
    <row r="95" spans="1:7">
      <c r="A95" s="277" t="s">
        <v>287</v>
      </c>
      <c r="B95" s="14" t="s">
        <v>8</v>
      </c>
      <c r="C95" s="14">
        <v>1</v>
      </c>
      <c r="D95" s="15">
        <f>D80</f>
        <v>3010</v>
      </c>
      <c r="E95" s="15">
        <f>C95*D95</f>
        <v>3010</v>
      </c>
    </row>
    <row r="96" spans="1:7">
      <c r="A96" s="277" t="s">
        <v>288</v>
      </c>
      <c r="B96" s="14" t="s">
        <v>8</v>
      </c>
      <c r="C96" s="14">
        <v>1</v>
      </c>
      <c r="D96" s="18">
        <f>D81</f>
        <v>1320</v>
      </c>
      <c r="E96" s="18"/>
    </row>
    <row r="97" spans="1:7">
      <c r="A97" s="16" t="s">
        <v>7</v>
      </c>
      <c r="B97" s="17" t="s">
        <v>101</v>
      </c>
      <c r="C97" s="83"/>
      <c r="D97" s="16"/>
      <c r="E97" s="16"/>
    </row>
    <row r="98" spans="1:7">
      <c r="A98" s="16"/>
      <c r="B98" s="17" t="s">
        <v>106</v>
      </c>
      <c r="C98" s="18">
        <f>C97*8/7</f>
        <v>0</v>
      </c>
      <c r="D98" s="18">
        <f>D95/220*0.2</f>
        <v>2.7363636363636363</v>
      </c>
      <c r="E98" s="18">
        <f>C98*D98</f>
        <v>0</v>
      </c>
    </row>
    <row r="99" spans="1:7">
      <c r="A99" s="16" t="s">
        <v>36</v>
      </c>
      <c r="B99" s="17" t="s">
        <v>0</v>
      </c>
      <c r="C99" s="83"/>
      <c r="D99" s="18">
        <f>D95/220*2</f>
        <v>27.363636363636363</v>
      </c>
      <c r="E99" s="18">
        <f>C99*D99</f>
        <v>0</v>
      </c>
    </row>
    <row r="100" spans="1:7">
      <c r="A100" s="16" t="s">
        <v>102</v>
      </c>
      <c r="B100" s="17" t="s">
        <v>101</v>
      </c>
      <c r="C100" s="83"/>
      <c r="D100" s="18"/>
      <c r="E100" s="18"/>
    </row>
    <row r="101" spans="1:7">
      <c r="A101" s="16"/>
      <c r="B101" s="17" t="s">
        <v>106</v>
      </c>
      <c r="C101" s="18">
        <f>C100*8/7</f>
        <v>0</v>
      </c>
      <c r="D101" s="18">
        <f>D95/220*2*1.2</f>
        <v>32.836363636363636</v>
      </c>
      <c r="E101" s="18">
        <f>C101*D101</f>
        <v>0</v>
      </c>
    </row>
    <row r="102" spans="1:7">
      <c r="A102" s="16" t="s">
        <v>37</v>
      </c>
      <c r="B102" s="17" t="s">
        <v>0</v>
      </c>
      <c r="C102" s="83"/>
      <c r="D102" s="18">
        <f>D95/220*1.5</f>
        <v>20.522727272727273</v>
      </c>
      <c r="E102" s="18">
        <f>C102*D102</f>
        <v>0</v>
      </c>
    </row>
    <row r="103" spans="1:7">
      <c r="A103" s="16" t="s">
        <v>221</v>
      </c>
      <c r="B103" s="17" t="s">
        <v>101</v>
      </c>
      <c r="C103" s="83"/>
      <c r="D103" s="18"/>
      <c r="E103" s="18"/>
    </row>
    <row r="104" spans="1:7">
      <c r="A104" s="16"/>
      <c r="B104" s="17" t="s">
        <v>106</v>
      </c>
      <c r="C104" s="18">
        <f>C103*8/7</f>
        <v>0</v>
      </c>
      <c r="D104" s="18">
        <f>D95/220*1.5*1.2</f>
        <v>24.627272727272729</v>
      </c>
      <c r="E104" s="18">
        <f>C104*D104</f>
        <v>0</v>
      </c>
    </row>
    <row r="105" spans="1:7" ht="13.15" customHeight="1">
      <c r="A105" s="16" t="s">
        <v>222</v>
      </c>
      <c r="B105" s="17" t="s">
        <v>35</v>
      </c>
      <c r="D105" s="18">
        <f>63/302*(SUM(E99:E104))</f>
        <v>0</v>
      </c>
      <c r="E105" s="18">
        <f>D105</f>
        <v>0</v>
      </c>
    </row>
    <row r="106" spans="1:7">
      <c r="A106" s="16" t="s">
        <v>220</v>
      </c>
      <c r="B106" s="17"/>
      <c r="C106" s="85"/>
      <c r="D106" s="18"/>
      <c r="E106" s="18"/>
    </row>
    <row r="107" spans="1:7">
      <c r="A107" s="16" t="s">
        <v>1</v>
      </c>
      <c r="B107" s="17" t="s">
        <v>2</v>
      </c>
      <c r="C107" s="78">
        <f>+C86</f>
        <v>0</v>
      </c>
      <c r="D107" s="78">
        <f>IF(C106=2,SUM(E95:E105),IF(C106=1,SUM(E95:E105)*D96/D95,0))</f>
        <v>0</v>
      </c>
      <c r="E107" s="18">
        <f>C107*D107/100</f>
        <v>0</v>
      </c>
    </row>
    <row r="108" spans="1:7" s="11" customFormat="1">
      <c r="A108" s="111" t="s">
        <v>3</v>
      </c>
      <c r="B108" s="112"/>
      <c r="C108" s="112"/>
      <c r="D108" s="113"/>
      <c r="E108" s="114">
        <f>SUM(E95:E107)</f>
        <v>3010</v>
      </c>
      <c r="F108" s="43"/>
      <c r="G108" s="43"/>
    </row>
    <row r="109" spans="1:7">
      <c r="A109" s="16" t="s">
        <v>4</v>
      </c>
      <c r="B109" s="17" t="s">
        <v>2</v>
      </c>
      <c r="C109" s="132">
        <f>'2.Encargos Sociais'!$C$31*100</f>
        <v>70.595951999999997</v>
      </c>
      <c r="D109" s="18">
        <f>E108</f>
        <v>3010</v>
      </c>
      <c r="E109" s="18">
        <f>D109*C109/100</f>
        <v>2124.9381552</v>
      </c>
    </row>
    <row r="110" spans="1:7" s="11" customFormat="1">
      <c r="A110" s="111" t="s">
        <v>253</v>
      </c>
      <c r="B110" s="112"/>
      <c r="C110" s="112"/>
      <c r="D110" s="113"/>
      <c r="E110" s="114">
        <f>E108+E109</f>
        <v>5134.9381551999995</v>
      </c>
      <c r="F110" s="43"/>
      <c r="G110" s="43"/>
    </row>
    <row r="111" spans="1:7" ht="13.5" thickBot="1">
      <c r="A111" s="16" t="s">
        <v>5</v>
      </c>
      <c r="B111" s="17" t="s">
        <v>6</v>
      </c>
      <c r="C111" s="81"/>
      <c r="D111" s="18">
        <f>E110</f>
        <v>5134.9381551999995</v>
      </c>
      <c r="E111" s="18">
        <f>C111*D111</f>
        <v>0</v>
      </c>
    </row>
    <row r="112" spans="1:7" ht="13.5" thickBot="1">
      <c r="D112" s="117" t="s">
        <v>203</v>
      </c>
      <c r="E112" s="49">
        <f>$B$42</f>
        <v>0.6</v>
      </c>
      <c r="F112" s="118">
        <f>E111*E112</f>
        <v>0</v>
      </c>
    </row>
    <row r="113" spans="1:7" ht="11.25" customHeight="1">
      <c r="G113" s="9"/>
    </row>
    <row r="114" spans="1:7" ht="13.5" thickBot="1">
      <c r="A114" s="9" t="s">
        <v>107</v>
      </c>
      <c r="B114" s="88"/>
      <c r="D114" s="9"/>
      <c r="E114" s="9"/>
      <c r="G114" s="9"/>
    </row>
    <row r="115" spans="1:7" ht="13.5" thickBot="1">
      <c r="A115" s="57" t="s">
        <v>65</v>
      </c>
      <c r="B115" s="58" t="s">
        <v>66</v>
      </c>
      <c r="C115" s="58" t="s">
        <v>42</v>
      </c>
      <c r="D115" s="59" t="s">
        <v>241</v>
      </c>
      <c r="E115" s="59" t="s">
        <v>67</v>
      </c>
      <c r="F115" s="60" t="s">
        <v>68</v>
      </c>
      <c r="G115" s="9"/>
    </row>
    <row r="116" spans="1:7">
      <c r="A116" s="16" t="s">
        <v>94</v>
      </c>
      <c r="B116" s="17" t="s">
        <v>35</v>
      </c>
      <c r="C116" s="89">
        <v>1</v>
      </c>
      <c r="D116" s="87"/>
      <c r="E116" s="18"/>
      <c r="G116" s="9"/>
    </row>
    <row r="117" spans="1:7">
      <c r="A117" s="16" t="s">
        <v>95</v>
      </c>
      <c r="B117" s="17" t="s">
        <v>96</v>
      </c>
      <c r="C117" s="86"/>
      <c r="D117" s="18"/>
      <c r="E117" s="18"/>
      <c r="G117" s="9"/>
    </row>
    <row r="118" spans="1:7">
      <c r="A118" s="16" t="s">
        <v>76</v>
      </c>
      <c r="B118" s="17" t="s">
        <v>9</v>
      </c>
      <c r="C118" s="36">
        <f>$C$117*2*(C56+C75)</f>
        <v>0</v>
      </c>
      <c r="D118" s="15" t="str">
        <f>IFERROR((($C$117*2*$D$116)-(E48*0.06*C117/26))/($C$117*2),"-")</f>
        <v>-</v>
      </c>
      <c r="E118" s="18" t="str">
        <f>IFERROR(C118*D118,"-")</f>
        <v>-</v>
      </c>
      <c r="G118" s="9"/>
    </row>
    <row r="119" spans="1:7" ht="13.5" thickBot="1">
      <c r="A119" s="13" t="s">
        <v>46</v>
      </c>
      <c r="B119" s="14" t="s">
        <v>9</v>
      </c>
      <c r="C119" s="36">
        <f>$C$117*2*(C90+C111)</f>
        <v>0</v>
      </c>
      <c r="D119" s="15" t="str">
        <f>IFERROR((($C$117*2*$D$116)-(E80*0.06*C117/26))/($C$117*2),"-")</f>
        <v>-</v>
      </c>
      <c r="E119" s="15" t="str">
        <f>IFERROR(C119*D119,"-")</f>
        <v>-</v>
      </c>
      <c r="G119" s="9"/>
    </row>
    <row r="120" spans="1:7" ht="13.5" thickBot="1">
      <c r="F120" s="22">
        <f>SUM(E118:E119)</f>
        <v>0</v>
      </c>
      <c r="G120" s="9"/>
    </row>
    <row r="121" spans="1:7" ht="11.25" customHeight="1">
      <c r="G121" s="9"/>
    </row>
    <row r="122" spans="1:7" ht="13.5" thickBot="1">
      <c r="A122" s="9" t="s">
        <v>130</v>
      </c>
      <c r="F122" s="23"/>
      <c r="G122" s="9"/>
    </row>
    <row r="123" spans="1:7" ht="13.5" thickBot="1">
      <c r="A123" s="57" t="s">
        <v>65</v>
      </c>
      <c r="B123" s="58" t="s">
        <v>66</v>
      </c>
      <c r="C123" s="58" t="s">
        <v>42</v>
      </c>
      <c r="D123" s="59" t="s">
        <v>241</v>
      </c>
      <c r="E123" s="59" t="s">
        <v>67</v>
      </c>
      <c r="F123" s="60" t="s">
        <v>68</v>
      </c>
      <c r="G123" s="9"/>
    </row>
    <row r="124" spans="1:7">
      <c r="A124" s="16" t="str">
        <f>+A118</f>
        <v>Coletor</v>
      </c>
      <c r="B124" s="17" t="s">
        <v>10</v>
      </c>
      <c r="C124" s="96">
        <v>26</v>
      </c>
      <c r="D124" s="84">
        <v>10</v>
      </c>
      <c r="E124" s="49">
        <f>C124*D124</f>
        <v>260</v>
      </c>
      <c r="F124" s="23"/>
      <c r="G124" s="9"/>
    </row>
    <row r="125" spans="1:7" ht="13.5" thickBot="1">
      <c r="A125" s="16" t="str">
        <f>+A119</f>
        <v>Motorista</v>
      </c>
      <c r="B125" s="17" t="s">
        <v>10</v>
      </c>
      <c r="C125" s="96">
        <v>26</v>
      </c>
      <c r="D125" s="84">
        <v>18</v>
      </c>
      <c r="E125" s="49">
        <f>C125*D125</f>
        <v>468</v>
      </c>
      <c r="F125" s="23"/>
      <c r="G125" s="9"/>
    </row>
    <row r="126" spans="1:7" ht="13.5" thickBot="1">
      <c r="F126" s="22">
        <f>SUM(E124:E125)</f>
        <v>728</v>
      </c>
      <c r="G126" s="9"/>
    </row>
    <row r="127" spans="1:7">
      <c r="G127" s="9"/>
    </row>
    <row r="128" spans="1:7" ht="13.5" thickBot="1">
      <c r="A128" s="9" t="s">
        <v>131</v>
      </c>
      <c r="F128" s="23"/>
      <c r="G128" s="9"/>
    </row>
    <row r="129" spans="1:7" ht="13.5" thickBot="1">
      <c r="A129" s="57" t="s">
        <v>65</v>
      </c>
      <c r="B129" s="58" t="s">
        <v>66</v>
      </c>
      <c r="C129" s="58" t="s">
        <v>42</v>
      </c>
      <c r="D129" s="59" t="s">
        <v>241</v>
      </c>
      <c r="E129" s="59" t="s">
        <v>67</v>
      </c>
      <c r="F129" s="60" t="s">
        <v>68</v>
      </c>
      <c r="G129" s="9"/>
    </row>
    <row r="130" spans="1:7">
      <c r="A130" s="16" t="str">
        <f>+A124</f>
        <v>Coletor</v>
      </c>
      <c r="B130" s="17" t="s">
        <v>10</v>
      </c>
      <c r="C130" s="96">
        <f>E32+E33</f>
        <v>2</v>
      </c>
      <c r="D130" s="84">
        <v>60</v>
      </c>
      <c r="E130" s="49">
        <f>C130*D130</f>
        <v>120</v>
      </c>
      <c r="F130" s="23"/>
      <c r="G130" s="9"/>
    </row>
    <row r="131" spans="1:7" ht="13.5" thickBot="1">
      <c r="A131" s="16" t="str">
        <f>+A125</f>
        <v>Motorista</v>
      </c>
      <c r="B131" s="17" t="s">
        <v>10</v>
      </c>
      <c r="C131" s="96">
        <f>E34+E35</f>
        <v>1</v>
      </c>
      <c r="D131" s="84">
        <v>120</v>
      </c>
      <c r="E131" s="49">
        <f>C131*D131</f>
        <v>120</v>
      </c>
      <c r="F131" s="23"/>
      <c r="G131" s="9"/>
    </row>
    <row r="132" spans="1:7" ht="13.5" thickBot="1">
      <c r="D132" s="117" t="s">
        <v>203</v>
      </c>
      <c r="E132" s="49">
        <f>$B$42</f>
        <v>0.6</v>
      </c>
      <c r="F132" s="22">
        <f>SUM(E130:E131)*E132</f>
        <v>144</v>
      </c>
      <c r="G132" s="9"/>
    </row>
    <row r="133" spans="1:7" ht="13.5" thickBot="1">
      <c r="G133" s="9"/>
    </row>
    <row r="134" spans="1:7" ht="13.5" thickBot="1">
      <c r="A134" s="24" t="s">
        <v>97</v>
      </c>
      <c r="B134" s="25"/>
      <c r="C134" s="25"/>
      <c r="D134" s="26"/>
      <c r="E134" s="27"/>
      <c r="F134" s="22">
        <f>F132+F126+F120+F112+F91+F76+F57</f>
        <v>8419.3559839462396</v>
      </c>
      <c r="G134" s="9"/>
    </row>
    <row r="136" spans="1:7">
      <c r="A136" s="11" t="s">
        <v>47</v>
      </c>
      <c r="G136" s="9"/>
    </row>
    <row r="137" spans="1:7" ht="11.25" customHeight="1">
      <c r="G137" s="9"/>
    </row>
    <row r="138" spans="1:7" ht="13.9" customHeight="1">
      <c r="A138" s="9" t="s">
        <v>205</v>
      </c>
      <c r="G138" s="9"/>
    </row>
    <row r="139" spans="1:7" ht="11.25" customHeight="1" thickBot="1">
      <c r="G139" s="9"/>
    </row>
    <row r="140" spans="1:7" ht="27.75" customHeight="1" thickBot="1">
      <c r="A140" s="57" t="s">
        <v>65</v>
      </c>
      <c r="B140" s="58" t="s">
        <v>66</v>
      </c>
      <c r="C140" s="248" t="s">
        <v>254</v>
      </c>
      <c r="D140" s="59" t="s">
        <v>241</v>
      </c>
      <c r="E140" s="59" t="s">
        <v>67</v>
      </c>
      <c r="F140" s="60" t="s">
        <v>68</v>
      </c>
      <c r="G140" s="9"/>
    </row>
    <row r="141" spans="1:7">
      <c r="A141" s="13" t="s">
        <v>69</v>
      </c>
      <c r="B141" s="14" t="s">
        <v>10</v>
      </c>
      <c r="C141" s="95">
        <v>6</v>
      </c>
      <c r="D141" s="82">
        <v>65</v>
      </c>
      <c r="E141" s="15">
        <f>IFERROR(D141/C141,0)</f>
        <v>10.833333333333334</v>
      </c>
      <c r="G141" s="9"/>
    </row>
    <row r="142" spans="1:7" ht="13.15" customHeight="1">
      <c r="A142" s="16" t="s">
        <v>30</v>
      </c>
      <c r="B142" s="17" t="s">
        <v>10</v>
      </c>
      <c r="C142" s="95">
        <v>4</v>
      </c>
      <c r="D142" s="82">
        <v>50</v>
      </c>
      <c r="E142" s="15">
        <f t="shared" ref="E142:E150" si="1">IFERROR(D142/C142,0)</f>
        <v>12.5</v>
      </c>
      <c r="G142" s="9"/>
    </row>
    <row r="143" spans="1:7">
      <c r="A143" s="16" t="s">
        <v>31</v>
      </c>
      <c r="B143" s="17" t="s">
        <v>10</v>
      </c>
      <c r="C143" s="95">
        <v>2</v>
      </c>
      <c r="D143" s="82">
        <v>35</v>
      </c>
      <c r="E143" s="15">
        <f t="shared" si="1"/>
        <v>17.5</v>
      </c>
      <c r="G143" s="9"/>
    </row>
    <row r="144" spans="1:7" ht="13.15" customHeight="1">
      <c r="A144" s="16" t="s">
        <v>32</v>
      </c>
      <c r="B144" s="17" t="s">
        <v>10</v>
      </c>
      <c r="C144" s="95">
        <v>2</v>
      </c>
      <c r="D144" s="82">
        <v>15</v>
      </c>
      <c r="E144" s="15">
        <f t="shared" si="1"/>
        <v>7.5</v>
      </c>
      <c r="G144" s="9"/>
    </row>
    <row r="145" spans="1:7" ht="13.9" customHeight="1">
      <c r="A145" s="16" t="s">
        <v>71</v>
      </c>
      <c r="B145" s="17" t="s">
        <v>50</v>
      </c>
      <c r="C145" s="95">
        <v>2</v>
      </c>
      <c r="D145" s="82">
        <v>70</v>
      </c>
      <c r="E145" s="15">
        <f t="shared" si="1"/>
        <v>35</v>
      </c>
      <c r="G145" s="9"/>
    </row>
    <row r="146" spans="1:7" ht="13.15" customHeight="1">
      <c r="A146" s="16" t="s">
        <v>98</v>
      </c>
      <c r="B146" s="17" t="s">
        <v>50</v>
      </c>
      <c r="C146" s="95">
        <v>1</v>
      </c>
      <c r="D146" s="82">
        <v>10</v>
      </c>
      <c r="E146" s="15">
        <f t="shared" si="1"/>
        <v>10</v>
      </c>
    </row>
    <row r="147" spans="1:7">
      <c r="A147" s="16" t="s">
        <v>70</v>
      </c>
      <c r="B147" s="17" t="s">
        <v>10</v>
      </c>
      <c r="C147" s="95">
        <v>1</v>
      </c>
      <c r="D147" s="82">
        <v>35</v>
      </c>
      <c r="E147" s="15">
        <f t="shared" si="1"/>
        <v>35</v>
      </c>
    </row>
    <row r="148" spans="1:7" s="1" customFormat="1">
      <c r="A148" s="2" t="s">
        <v>11</v>
      </c>
      <c r="B148" s="3" t="s">
        <v>10</v>
      </c>
      <c r="C148" s="95">
        <v>1</v>
      </c>
      <c r="D148" s="82">
        <v>30</v>
      </c>
      <c r="E148" s="15">
        <f t="shared" si="1"/>
        <v>30</v>
      </c>
      <c r="F148" s="37"/>
      <c r="G148" s="37"/>
    </row>
    <row r="149" spans="1:7">
      <c r="A149" s="16" t="s">
        <v>33</v>
      </c>
      <c r="B149" s="17" t="s">
        <v>50</v>
      </c>
      <c r="C149" s="95">
        <v>4</v>
      </c>
      <c r="D149" s="82">
        <v>11.5</v>
      </c>
      <c r="E149" s="15">
        <f t="shared" si="1"/>
        <v>2.875</v>
      </c>
    </row>
    <row r="150" spans="1:7" ht="13.15" customHeight="1">
      <c r="A150" s="16" t="s">
        <v>64</v>
      </c>
      <c r="B150" s="17" t="s">
        <v>51</v>
      </c>
      <c r="C150" s="95">
        <v>2</v>
      </c>
      <c r="D150" s="82">
        <v>18</v>
      </c>
      <c r="E150" s="15">
        <f t="shared" si="1"/>
        <v>9</v>
      </c>
    </row>
    <row r="151" spans="1:7">
      <c r="A151" s="16" t="s">
        <v>206</v>
      </c>
      <c r="B151" s="17" t="s">
        <v>132</v>
      </c>
      <c r="C151" s="66">
        <v>1</v>
      </c>
      <c r="D151" s="82">
        <v>90</v>
      </c>
      <c r="E151" s="18">
        <f>C151*D151</f>
        <v>90</v>
      </c>
    </row>
    <row r="152" spans="1:7" ht="13.5" thickBot="1">
      <c r="A152" s="16" t="s">
        <v>5</v>
      </c>
      <c r="B152" s="17" t="s">
        <v>6</v>
      </c>
      <c r="C152" s="66">
        <f>E32+E33</f>
        <v>2</v>
      </c>
      <c r="D152" s="18">
        <f>+SUM(E141:E151)</f>
        <v>260.20833333333337</v>
      </c>
      <c r="E152" s="18">
        <f>C152*D152</f>
        <v>520.41666666666674</v>
      </c>
    </row>
    <row r="153" spans="1:7" ht="13.5" thickBot="1">
      <c r="D153" s="117" t="s">
        <v>203</v>
      </c>
      <c r="E153" s="49">
        <f>$B$42</f>
        <v>0.6</v>
      </c>
      <c r="F153" s="118">
        <f>E152*E153</f>
        <v>312.25000000000006</v>
      </c>
    </row>
    <row r="154" spans="1:7" ht="11.25" customHeight="1"/>
    <row r="155" spans="1:7" ht="13.9" customHeight="1">
      <c r="A155" s="9" t="s">
        <v>207</v>
      </c>
    </row>
    <row r="156" spans="1:7" ht="11.25" customHeight="1" thickBot="1"/>
    <row r="157" spans="1:7" ht="24.75" thickBot="1">
      <c r="A157" s="57" t="s">
        <v>65</v>
      </c>
      <c r="B157" s="58" t="s">
        <v>66</v>
      </c>
      <c r="C157" s="248" t="s">
        <v>254</v>
      </c>
      <c r="D157" s="59" t="s">
        <v>241</v>
      </c>
      <c r="E157" s="59" t="s">
        <v>67</v>
      </c>
      <c r="F157" s="60" t="s">
        <v>68</v>
      </c>
    </row>
    <row r="158" spans="1:7">
      <c r="A158" s="13" t="s">
        <v>69</v>
      </c>
      <c r="B158" s="14" t="s">
        <v>10</v>
      </c>
      <c r="C158" s="95">
        <v>1</v>
      </c>
      <c r="D158" s="15">
        <f>+D141</f>
        <v>65</v>
      </c>
      <c r="E158" s="15">
        <f t="shared" ref="E158:E163" si="2">IFERROR(D158/C158,0)</f>
        <v>65</v>
      </c>
    </row>
    <row r="159" spans="1:7">
      <c r="A159" s="16" t="s">
        <v>30</v>
      </c>
      <c r="B159" s="17" t="s">
        <v>10</v>
      </c>
      <c r="C159" s="95">
        <v>4</v>
      </c>
      <c r="D159" s="18">
        <f>+D142</f>
        <v>50</v>
      </c>
      <c r="E159" s="15">
        <f t="shared" si="2"/>
        <v>12.5</v>
      </c>
    </row>
    <row r="160" spans="1:7">
      <c r="A160" s="16" t="s">
        <v>31</v>
      </c>
      <c r="B160" s="17" t="s">
        <v>10</v>
      </c>
      <c r="C160" s="95">
        <v>2</v>
      </c>
      <c r="D160" s="18">
        <f>+D143</f>
        <v>35</v>
      </c>
      <c r="E160" s="15">
        <f t="shared" si="2"/>
        <v>17.5</v>
      </c>
    </row>
    <row r="161" spans="1:7">
      <c r="A161" s="16" t="s">
        <v>71</v>
      </c>
      <c r="B161" s="17" t="s">
        <v>50</v>
      </c>
      <c r="C161" s="95">
        <v>2</v>
      </c>
      <c r="D161" s="18">
        <f>+D145</f>
        <v>70</v>
      </c>
      <c r="E161" s="15">
        <f t="shared" si="2"/>
        <v>35</v>
      </c>
    </row>
    <row r="162" spans="1:7">
      <c r="A162" s="16" t="s">
        <v>70</v>
      </c>
      <c r="B162" s="17" t="s">
        <v>10</v>
      </c>
      <c r="C162" s="95">
        <v>1</v>
      </c>
      <c r="D162" s="18">
        <f>+D147</f>
        <v>35</v>
      </c>
      <c r="E162" s="15">
        <f t="shared" si="2"/>
        <v>35</v>
      </c>
      <c r="G162" s="9"/>
    </row>
    <row r="163" spans="1:7">
      <c r="A163" s="16" t="s">
        <v>64</v>
      </c>
      <c r="B163" s="17" t="s">
        <v>51</v>
      </c>
      <c r="C163" s="95">
        <v>1</v>
      </c>
      <c r="D163" s="18">
        <f>+D150</f>
        <v>18</v>
      </c>
      <c r="E163" s="15">
        <f t="shared" si="2"/>
        <v>18</v>
      </c>
      <c r="G163" s="9"/>
    </row>
    <row r="164" spans="1:7">
      <c r="A164" s="16" t="s">
        <v>206</v>
      </c>
      <c r="B164" s="17" t="s">
        <v>132</v>
      </c>
      <c r="C164" s="66">
        <v>1</v>
      </c>
      <c r="D164" s="82"/>
      <c r="E164" s="18">
        <f>C164*D164</f>
        <v>0</v>
      </c>
      <c r="G164" s="9"/>
    </row>
    <row r="165" spans="1:7" ht="13.5" thickBot="1">
      <c r="A165" s="16" t="s">
        <v>5</v>
      </c>
      <c r="B165" s="17" t="s">
        <v>6</v>
      </c>
      <c r="C165" s="66">
        <f>E34+E35</f>
        <v>1</v>
      </c>
      <c r="D165" s="18">
        <f>+SUM(E158:E164)</f>
        <v>183</v>
      </c>
      <c r="E165" s="18">
        <f>C165*D165</f>
        <v>183</v>
      </c>
      <c r="G165" s="9"/>
    </row>
    <row r="166" spans="1:7" ht="13.5" thickBot="1">
      <c r="D166" s="117" t="s">
        <v>203</v>
      </c>
      <c r="E166" s="49">
        <f>$B$42</f>
        <v>0.6</v>
      </c>
      <c r="F166" s="118">
        <f>E165*E166</f>
        <v>109.8</v>
      </c>
      <c r="G166" s="9"/>
    </row>
    <row r="167" spans="1:7" ht="11.25" customHeight="1" thickBot="1">
      <c r="G167" s="9"/>
    </row>
    <row r="168" spans="1:7" ht="13.5" thickBot="1">
      <c r="A168" s="24" t="s">
        <v>208</v>
      </c>
      <c r="B168" s="28"/>
      <c r="C168" s="28"/>
      <c r="D168" s="29"/>
      <c r="E168" s="30"/>
      <c r="F168" s="21">
        <f>+F153+F166</f>
        <v>422.05000000000007</v>
      </c>
      <c r="G168" s="9"/>
    </row>
    <row r="169" spans="1:7" ht="11.25" customHeight="1">
      <c r="G169" s="9"/>
    </row>
    <row r="170" spans="1:7">
      <c r="A170" s="11" t="s">
        <v>56</v>
      </c>
      <c r="G170" s="9"/>
    </row>
    <row r="171" spans="1:7" ht="11.25" customHeight="1">
      <c r="B171" s="101"/>
      <c r="G171" s="9"/>
    </row>
    <row r="172" spans="1:7">
      <c r="A172" s="9" t="s">
        <v>99</v>
      </c>
      <c r="G172" s="9"/>
    </row>
    <row r="173" spans="1:7" ht="11.25" customHeight="1">
      <c r="G173" s="9"/>
    </row>
    <row r="174" spans="1:7" ht="13.5" thickBot="1">
      <c r="A174" s="101" t="s">
        <v>48</v>
      </c>
      <c r="G174" s="9"/>
    </row>
    <row r="175" spans="1:7" ht="13.5" thickBot="1">
      <c r="A175" s="57" t="s">
        <v>65</v>
      </c>
      <c r="B175" s="58" t="s">
        <v>66</v>
      </c>
      <c r="C175" s="58" t="s">
        <v>42</v>
      </c>
      <c r="D175" s="59" t="s">
        <v>241</v>
      </c>
      <c r="E175" s="59" t="s">
        <v>67</v>
      </c>
      <c r="F175" s="60" t="s">
        <v>68</v>
      </c>
      <c r="G175" s="9"/>
    </row>
    <row r="176" spans="1:7">
      <c r="A176" s="13" t="s">
        <v>114</v>
      </c>
      <c r="B176" s="14" t="s">
        <v>10</v>
      </c>
      <c r="C176" s="14">
        <v>1</v>
      </c>
      <c r="D176" s="82">
        <v>235000</v>
      </c>
      <c r="E176" s="15">
        <f>C176*D176</f>
        <v>235000</v>
      </c>
      <c r="G176" s="9"/>
    </row>
    <row r="177" spans="1:10">
      <c r="A177" s="16" t="s">
        <v>108</v>
      </c>
      <c r="B177" s="17" t="s">
        <v>109</v>
      </c>
      <c r="C177" s="81">
        <v>10</v>
      </c>
      <c r="D177" s="78"/>
      <c r="E177" s="18"/>
      <c r="G177" s="9"/>
    </row>
    <row r="178" spans="1:10">
      <c r="A178" s="16" t="s">
        <v>214</v>
      </c>
      <c r="B178" s="17" t="s">
        <v>109</v>
      </c>
      <c r="C178" s="81">
        <v>7</v>
      </c>
      <c r="D178" s="18"/>
      <c r="E178" s="18"/>
      <c r="F178" s="20"/>
      <c r="I178" s="80"/>
      <c r="J178" s="80"/>
    </row>
    <row r="179" spans="1:10">
      <c r="A179" s="16" t="s">
        <v>112</v>
      </c>
      <c r="B179" s="17" t="s">
        <v>2</v>
      </c>
      <c r="C179" s="132">
        <f>IFERROR(VLOOKUP(C177,'5. Depreciação'!A3:B17,2,FALSE),0)</f>
        <v>65.180000000000007</v>
      </c>
      <c r="D179" s="18">
        <f>E176</f>
        <v>235000</v>
      </c>
      <c r="E179" s="18">
        <f>C179*D179/100</f>
        <v>153173.00000000003</v>
      </c>
    </row>
    <row r="180" spans="1:10" ht="13.5" thickBot="1">
      <c r="A180" s="255" t="s">
        <v>52</v>
      </c>
      <c r="B180" s="256" t="s">
        <v>8</v>
      </c>
      <c r="C180" s="256">
        <f>C177*12</f>
        <v>120</v>
      </c>
      <c r="D180" s="257">
        <f>IF(C178&lt;=C177,E179,0)</f>
        <v>153173.00000000003</v>
      </c>
      <c r="E180" s="257">
        <f>IFERROR(D180/C180,0)</f>
        <v>1276.4416666666668</v>
      </c>
    </row>
    <row r="181" spans="1:10" ht="13.5" thickTop="1">
      <c r="A181" s="13" t="s">
        <v>113</v>
      </c>
      <c r="B181" s="14" t="s">
        <v>10</v>
      </c>
      <c r="C181" s="14">
        <f>C176</f>
        <v>1</v>
      </c>
      <c r="D181" s="82">
        <v>55000</v>
      </c>
      <c r="E181" s="15">
        <f>C181*D181</f>
        <v>55000</v>
      </c>
      <c r="G181" s="9"/>
    </row>
    <row r="182" spans="1:10">
      <c r="A182" s="16" t="s">
        <v>110</v>
      </c>
      <c r="B182" s="17" t="s">
        <v>109</v>
      </c>
      <c r="C182" s="81">
        <v>7</v>
      </c>
      <c r="D182" s="18"/>
      <c r="E182" s="18"/>
    </row>
    <row r="183" spans="1:10">
      <c r="A183" s="16" t="s">
        <v>215</v>
      </c>
      <c r="B183" s="17" t="s">
        <v>109</v>
      </c>
      <c r="C183" s="81">
        <v>7</v>
      </c>
      <c r="D183" s="18"/>
      <c r="E183" s="18"/>
      <c r="F183" s="20"/>
      <c r="I183" s="80"/>
      <c r="J183" s="80"/>
    </row>
    <row r="184" spans="1:10">
      <c r="A184" s="16" t="s">
        <v>111</v>
      </c>
      <c r="B184" s="17" t="s">
        <v>2</v>
      </c>
      <c r="C184" s="133">
        <f>IFERROR(VLOOKUP(C182,'5. Depreciação'!A3:B17,2,FALSE),0)</f>
        <v>60.29</v>
      </c>
      <c r="D184" s="18">
        <f>E181</f>
        <v>55000</v>
      </c>
      <c r="E184" s="18">
        <f>C184*D184/100</f>
        <v>33159.5</v>
      </c>
    </row>
    <row r="185" spans="1:10">
      <c r="A185" s="97" t="s">
        <v>115</v>
      </c>
      <c r="B185" s="98" t="s">
        <v>8</v>
      </c>
      <c r="C185" s="98">
        <f>C182*12</f>
        <v>84</v>
      </c>
      <c r="D185" s="99">
        <f>IF(C183&lt;=C182,E184,0)</f>
        <v>33159.5</v>
      </c>
      <c r="E185" s="99">
        <f>IFERROR(D185/C185,0)</f>
        <v>394.75595238095241</v>
      </c>
    </row>
    <row r="186" spans="1:10">
      <c r="A186" s="111" t="s">
        <v>257</v>
      </c>
      <c r="B186" s="112"/>
      <c r="C186" s="112"/>
      <c r="D186" s="113"/>
      <c r="E186" s="114">
        <f>E180+E185</f>
        <v>1671.1976190476194</v>
      </c>
    </row>
    <row r="187" spans="1:10" ht="13.5" thickBot="1">
      <c r="A187" s="97" t="s">
        <v>258</v>
      </c>
      <c r="B187" s="98" t="s">
        <v>10</v>
      </c>
      <c r="C187" s="81">
        <v>1</v>
      </c>
      <c r="D187" s="99">
        <f>E186</f>
        <v>1671.1976190476194</v>
      </c>
      <c r="E187" s="114">
        <f>C187*D187</f>
        <v>1671.1976190476194</v>
      </c>
    </row>
    <row r="188" spans="1:10" ht="13.5" thickBot="1">
      <c r="A188" s="253"/>
      <c r="B188" s="253"/>
      <c r="C188" s="253"/>
      <c r="D188" s="117" t="s">
        <v>203</v>
      </c>
      <c r="E188" s="49">
        <f>$B$42</f>
        <v>0.6</v>
      </c>
      <c r="F188" s="21">
        <f>E187*E188</f>
        <v>1002.7185714285715</v>
      </c>
    </row>
    <row r="189" spans="1:10" ht="11.25" customHeight="1"/>
    <row r="190" spans="1:10" ht="13.5" thickBot="1">
      <c r="A190" s="101" t="s">
        <v>120</v>
      </c>
    </row>
    <row r="191" spans="1:10" ht="13.5" thickBot="1">
      <c r="A191" s="103" t="s">
        <v>65</v>
      </c>
      <c r="B191" s="104" t="s">
        <v>66</v>
      </c>
      <c r="C191" s="104" t="s">
        <v>42</v>
      </c>
      <c r="D191" s="59" t="s">
        <v>241</v>
      </c>
      <c r="E191" s="105" t="s">
        <v>67</v>
      </c>
      <c r="F191" s="60" t="s">
        <v>68</v>
      </c>
      <c r="I191" s="80"/>
      <c r="J191" s="80"/>
    </row>
    <row r="192" spans="1:10">
      <c r="A192" s="16" t="s">
        <v>118</v>
      </c>
      <c r="B192" s="17" t="s">
        <v>10</v>
      </c>
      <c r="C192" s="14">
        <v>1</v>
      </c>
      <c r="D192" s="18">
        <f>D176</f>
        <v>235000</v>
      </c>
      <c r="E192" s="18">
        <f>C192*D192</f>
        <v>235000</v>
      </c>
      <c r="F192" s="20"/>
      <c r="I192" s="80"/>
      <c r="J192" s="80"/>
    </row>
    <row r="193" spans="1:10">
      <c r="A193" s="16" t="s">
        <v>218</v>
      </c>
      <c r="B193" s="17" t="s">
        <v>2</v>
      </c>
      <c r="C193" s="81">
        <v>12.25</v>
      </c>
      <c r="D193" s="18"/>
      <c r="E193" s="18"/>
      <c r="F193" s="20"/>
      <c r="I193" s="80"/>
      <c r="J193" s="80"/>
    </row>
    <row r="194" spans="1:10">
      <c r="A194" s="16" t="s">
        <v>216</v>
      </c>
      <c r="B194" s="17" t="s">
        <v>35</v>
      </c>
      <c r="C194" s="138">
        <f>IFERROR(IF(C178&lt;=C177,E176-(C179/(100*C177)*C178)*E176,E176-E179),0)</f>
        <v>127778.9</v>
      </c>
      <c r="D194" s="18"/>
      <c r="E194" s="18"/>
      <c r="F194" s="20"/>
      <c r="I194" s="80"/>
      <c r="J194" s="80"/>
    </row>
    <row r="195" spans="1:10">
      <c r="A195" s="16" t="s">
        <v>123</v>
      </c>
      <c r="B195" s="17" t="s">
        <v>35</v>
      </c>
      <c r="C195" s="78">
        <f>IFERROR(IF(C178&gt;=C177,C194,((((C194)-(E176-E179))*(((C177-C178)+1)/(2*(C177-C178))))+(E176-E179))),0)</f>
        <v>112461.59999999998</v>
      </c>
      <c r="D195" s="18"/>
      <c r="E195" s="18"/>
      <c r="F195" s="20"/>
      <c r="I195" s="80"/>
      <c r="J195" s="80"/>
    </row>
    <row r="196" spans="1:10" ht="13.5" thickBot="1">
      <c r="A196" s="255" t="s">
        <v>124</v>
      </c>
      <c r="B196" s="256" t="s">
        <v>35</v>
      </c>
      <c r="C196" s="256"/>
      <c r="D196" s="258">
        <f>C193*C195/12/100</f>
        <v>1148.0454999999997</v>
      </c>
      <c r="E196" s="257">
        <f>D196</f>
        <v>1148.0454999999997</v>
      </c>
      <c r="F196" s="20"/>
      <c r="I196" s="80"/>
      <c r="J196" s="80"/>
    </row>
    <row r="197" spans="1:10" ht="13.5" thickTop="1">
      <c r="A197" s="13" t="s">
        <v>119</v>
      </c>
      <c r="B197" s="14" t="s">
        <v>10</v>
      </c>
      <c r="C197" s="14">
        <f>C181</f>
        <v>1</v>
      </c>
      <c r="D197" s="15">
        <f>D181</f>
        <v>55000</v>
      </c>
      <c r="E197" s="15">
        <f>C197*D197</f>
        <v>55000</v>
      </c>
      <c r="F197" s="20"/>
      <c r="I197" s="80"/>
      <c r="J197" s="80"/>
    </row>
    <row r="198" spans="1:10">
      <c r="A198" s="16" t="s">
        <v>218</v>
      </c>
      <c r="B198" s="17" t="s">
        <v>2</v>
      </c>
      <c r="C198" s="17">
        <f>C193</f>
        <v>12.25</v>
      </c>
      <c r="D198" s="18"/>
      <c r="E198" s="18"/>
      <c r="F198" s="20"/>
      <c r="I198" s="80"/>
      <c r="J198" s="80"/>
    </row>
    <row r="199" spans="1:10">
      <c r="A199" s="16" t="s">
        <v>217</v>
      </c>
      <c r="B199" s="17" t="s">
        <v>35</v>
      </c>
      <c r="C199" s="138">
        <f>IFERROR(IF(C183&lt;=C182,E181-(C184/(100*C182)*C183)*E181,E181-E184),0)</f>
        <v>21840.5</v>
      </c>
      <c r="D199" s="18"/>
      <c r="E199" s="18"/>
      <c r="F199" s="20"/>
      <c r="I199" s="80"/>
      <c r="J199" s="80"/>
    </row>
    <row r="200" spans="1:10">
      <c r="A200" s="16" t="s">
        <v>125</v>
      </c>
      <c r="B200" s="17" t="s">
        <v>35</v>
      </c>
      <c r="C200" s="78">
        <f>IFERROR(IF(C183&gt;=C182,C199,((((C199)-(E181-E184))*(((C182-C183)+1)/(2*(C182-C183))))+(E181-E184))),0)</f>
        <v>21840.5</v>
      </c>
      <c r="D200" s="18"/>
      <c r="E200" s="18"/>
      <c r="F200" s="20"/>
      <c r="I200" s="80"/>
      <c r="J200" s="80"/>
    </row>
    <row r="201" spans="1:10">
      <c r="A201" s="97" t="s">
        <v>122</v>
      </c>
      <c r="B201" s="98" t="s">
        <v>35</v>
      </c>
      <c r="C201" s="98"/>
      <c r="D201" s="107">
        <f>C198*C200/12/100</f>
        <v>222.95510416666667</v>
      </c>
      <c r="E201" s="99">
        <f>D201</f>
        <v>222.95510416666667</v>
      </c>
      <c r="F201" s="20"/>
      <c r="I201" s="80"/>
      <c r="J201" s="80"/>
    </row>
    <row r="202" spans="1:10">
      <c r="A202" s="111" t="s">
        <v>257</v>
      </c>
      <c r="B202" s="112"/>
      <c r="C202" s="112"/>
      <c r="D202" s="113"/>
      <c r="E202" s="114">
        <f>E196+E201</f>
        <v>1371.0006041666663</v>
      </c>
      <c r="F202" s="20"/>
      <c r="I202" s="80"/>
      <c r="J202" s="80"/>
    </row>
    <row r="203" spans="1:10" ht="13.5" thickBot="1">
      <c r="A203" s="97" t="s">
        <v>258</v>
      </c>
      <c r="B203" s="98" t="s">
        <v>10</v>
      </c>
      <c r="C203" s="17">
        <f>C187</f>
        <v>1</v>
      </c>
      <c r="D203" s="99">
        <f>E202</f>
        <v>1371.0006041666663</v>
      </c>
      <c r="E203" s="114">
        <f>C203*D203</f>
        <v>1371.0006041666663</v>
      </c>
      <c r="F203" s="20"/>
      <c r="I203" s="80"/>
      <c r="J203" s="80"/>
    </row>
    <row r="204" spans="1:10" ht="13.5" thickBot="1">
      <c r="C204" s="19"/>
      <c r="D204" s="117" t="s">
        <v>203</v>
      </c>
      <c r="E204" s="49">
        <f>$B$42</f>
        <v>0.6</v>
      </c>
      <c r="F204" s="21">
        <f>E203*E204</f>
        <v>822.60036249999973</v>
      </c>
      <c r="I204" s="80"/>
      <c r="J204" s="80"/>
    </row>
    <row r="205" spans="1:10" ht="11.25" customHeight="1">
      <c r="I205" s="80"/>
      <c r="J205" s="80"/>
    </row>
    <row r="206" spans="1:10" ht="13.5" thickBot="1">
      <c r="A206" s="9" t="s">
        <v>53</v>
      </c>
      <c r="I206" s="80"/>
      <c r="J206" s="80"/>
    </row>
    <row r="207" spans="1:10" ht="13.5" thickBot="1">
      <c r="A207" s="57" t="s">
        <v>65</v>
      </c>
      <c r="B207" s="58" t="s">
        <v>66</v>
      </c>
      <c r="C207" s="58" t="s">
        <v>42</v>
      </c>
      <c r="D207" s="59" t="s">
        <v>241</v>
      </c>
      <c r="E207" s="59" t="s">
        <v>67</v>
      </c>
      <c r="F207" s="60" t="s">
        <v>68</v>
      </c>
      <c r="I207" s="80"/>
      <c r="J207" s="80"/>
    </row>
    <row r="208" spans="1:10">
      <c r="A208" s="13" t="s">
        <v>12</v>
      </c>
      <c r="B208" s="14" t="s">
        <v>10</v>
      </c>
      <c r="C208" s="15">
        <f>C187</f>
        <v>1</v>
      </c>
      <c r="D208" s="15">
        <f>0.01*($E$176)</f>
        <v>2350</v>
      </c>
      <c r="E208" s="15">
        <f>C208*D208</f>
        <v>2350</v>
      </c>
      <c r="I208" s="80"/>
      <c r="J208" s="80"/>
    </row>
    <row r="209" spans="1:10">
      <c r="A209" s="16" t="s">
        <v>202</v>
      </c>
      <c r="B209" s="17" t="s">
        <v>10</v>
      </c>
      <c r="C209" s="15">
        <f>C187</f>
        <v>1</v>
      </c>
      <c r="D209" s="84">
        <v>94.1</v>
      </c>
      <c r="E209" s="18">
        <f>C209*D209</f>
        <v>94.1</v>
      </c>
      <c r="I209" s="80"/>
      <c r="J209" s="80"/>
    </row>
    <row r="210" spans="1:10">
      <c r="A210" s="16" t="s">
        <v>13</v>
      </c>
      <c r="B210" s="17" t="s">
        <v>10</v>
      </c>
      <c r="C210" s="15">
        <f>C187</f>
        <v>1</v>
      </c>
      <c r="D210" s="84">
        <v>8000</v>
      </c>
      <c r="E210" s="18">
        <f>C210*D210</f>
        <v>8000</v>
      </c>
      <c r="F210" s="31"/>
      <c r="I210" s="80"/>
      <c r="J210" s="80"/>
    </row>
    <row r="211" spans="1:10" ht="13.5" thickBot="1">
      <c r="A211" s="97" t="s">
        <v>14</v>
      </c>
      <c r="B211" s="98" t="s">
        <v>8</v>
      </c>
      <c r="C211" s="98">
        <v>12</v>
      </c>
      <c r="D211" s="99">
        <f>SUM(E208:E210)</f>
        <v>10444.1</v>
      </c>
      <c r="E211" s="99">
        <f>D211/C211</f>
        <v>870.3416666666667</v>
      </c>
      <c r="I211" s="80"/>
      <c r="J211" s="80"/>
    </row>
    <row r="212" spans="1:10" ht="13.5" thickBot="1">
      <c r="D212" s="117" t="s">
        <v>203</v>
      </c>
      <c r="E212" s="49">
        <f>$B$42</f>
        <v>0.6</v>
      </c>
      <c r="F212" s="118">
        <f>E211*E212</f>
        <v>522.20500000000004</v>
      </c>
      <c r="I212" s="80"/>
      <c r="J212" s="80"/>
    </row>
    <row r="213" spans="1:10" ht="11.25" customHeight="1">
      <c r="I213" s="80"/>
      <c r="J213" s="80"/>
    </row>
    <row r="214" spans="1:10">
      <c r="A214" s="9" t="s">
        <v>54</v>
      </c>
      <c r="B214" s="32"/>
      <c r="I214" s="80"/>
      <c r="J214" s="80"/>
    </row>
    <row r="215" spans="1:10">
      <c r="B215" s="32"/>
      <c r="I215" s="80"/>
      <c r="J215" s="80"/>
    </row>
    <row r="216" spans="1:10">
      <c r="A216" s="97" t="s">
        <v>127</v>
      </c>
      <c r="B216" s="108">
        <v>2798.4</v>
      </c>
      <c r="I216" s="80"/>
      <c r="J216" s="80"/>
    </row>
    <row r="217" spans="1:10" ht="13.5" thickBot="1">
      <c r="B217" s="32"/>
      <c r="I217" s="80"/>
      <c r="J217" s="80"/>
    </row>
    <row r="218" spans="1:10" ht="13.5" thickBot="1">
      <c r="A218" s="57" t="s">
        <v>65</v>
      </c>
      <c r="B218" s="58" t="s">
        <v>66</v>
      </c>
      <c r="C218" s="58" t="s">
        <v>256</v>
      </c>
      <c r="D218" s="59" t="s">
        <v>241</v>
      </c>
      <c r="E218" s="59" t="s">
        <v>67</v>
      </c>
      <c r="F218" s="60" t="s">
        <v>68</v>
      </c>
      <c r="I218" s="80"/>
      <c r="J218" s="80"/>
    </row>
    <row r="219" spans="1:10">
      <c r="A219" s="13" t="s">
        <v>15</v>
      </c>
      <c r="B219" s="14" t="s">
        <v>16</v>
      </c>
      <c r="C219" s="91">
        <v>2</v>
      </c>
      <c r="D219" s="92">
        <v>5.65</v>
      </c>
      <c r="E219" s="15"/>
      <c r="I219" s="80"/>
      <c r="J219" s="80"/>
    </row>
    <row r="220" spans="1:10">
      <c r="A220" s="16" t="s">
        <v>17</v>
      </c>
      <c r="B220" s="17" t="s">
        <v>18</v>
      </c>
      <c r="C220" s="89">
        <f>B216</f>
        <v>2798.4</v>
      </c>
      <c r="D220" s="252">
        <f>IFERROR(+D219/C219,"-")</f>
        <v>2.8250000000000002</v>
      </c>
      <c r="E220" s="18">
        <f>IFERROR(C220*D220,"-")</f>
        <v>7905.4800000000005</v>
      </c>
      <c r="I220" s="80"/>
      <c r="J220" s="80"/>
    </row>
    <row r="221" spans="1:10">
      <c r="A221" s="16" t="s">
        <v>242</v>
      </c>
      <c r="B221" s="17" t="s">
        <v>19</v>
      </c>
      <c r="C221" s="94">
        <v>3</v>
      </c>
      <c r="D221" s="84">
        <v>10</v>
      </c>
      <c r="E221" s="18"/>
      <c r="G221" s="106"/>
      <c r="I221" s="80"/>
      <c r="J221" s="80"/>
    </row>
    <row r="222" spans="1:10">
      <c r="A222" s="16" t="s">
        <v>20</v>
      </c>
      <c r="B222" s="17" t="s">
        <v>18</v>
      </c>
      <c r="C222" s="89">
        <f>C220</f>
        <v>2798.4</v>
      </c>
      <c r="D222" s="249">
        <f>+C221*D221/1000</f>
        <v>0.03</v>
      </c>
      <c r="E222" s="18">
        <f>C222*D222</f>
        <v>83.951999999999998</v>
      </c>
      <c r="G222" s="106"/>
      <c r="I222" s="80"/>
      <c r="J222" s="80"/>
    </row>
    <row r="223" spans="1:10">
      <c r="A223" s="16" t="s">
        <v>243</v>
      </c>
      <c r="B223" s="17" t="s">
        <v>19</v>
      </c>
      <c r="C223" s="94">
        <v>0.85</v>
      </c>
      <c r="D223" s="84">
        <v>13</v>
      </c>
      <c r="E223" s="18"/>
      <c r="G223" s="106"/>
      <c r="I223" s="80"/>
      <c r="J223" s="80"/>
    </row>
    <row r="224" spans="1:10">
      <c r="A224" s="16" t="s">
        <v>21</v>
      </c>
      <c r="B224" s="17" t="s">
        <v>18</v>
      </c>
      <c r="C224" s="89">
        <f>C220</f>
        <v>2798.4</v>
      </c>
      <c r="D224" s="249">
        <f>+C223*D223/1000</f>
        <v>1.1049999999999999E-2</v>
      </c>
      <c r="E224" s="18">
        <f>C224*D224</f>
        <v>30.922319999999999</v>
      </c>
      <c r="G224" s="106"/>
      <c r="I224" s="80"/>
      <c r="J224" s="80"/>
    </row>
    <row r="225" spans="1:10">
      <c r="A225" s="16" t="s">
        <v>244</v>
      </c>
      <c r="B225" s="17" t="s">
        <v>19</v>
      </c>
      <c r="C225" s="94">
        <v>5</v>
      </c>
      <c r="D225" s="84">
        <v>10</v>
      </c>
      <c r="E225" s="18"/>
      <c r="G225" s="106"/>
      <c r="I225" s="80"/>
      <c r="J225" s="80"/>
    </row>
    <row r="226" spans="1:10">
      <c r="A226" s="16" t="s">
        <v>22</v>
      </c>
      <c r="B226" s="17" t="s">
        <v>18</v>
      </c>
      <c r="C226" s="89">
        <f>C220</f>
        <v>2798.4</v>
      </c>
      <c r="D226" s="249">
        <f>+C225*D225/1000</f>
        <v>0.05</v>
      </c>
      <c r="E226" s="18">
        <f>C226*D226</f>
        <v>139.92000000000002</v>
      </c>
      <c r="G226" s="106"/>
      <c r="I226" s="80"/>
      <c r="J226" s="80"/>
    </row>
    <row r="227" spans="1:10">
      <c r="A227" s="16" t="s">
        <v>23</v>
      </c>
      <c r="B227" s="17" t="s">
        <v>24</v>
      </c>
      <c r="C227" s="94">
        <v>2</v>
      </c>
      <c r="D227" s="84">
        <v>10</v>
      </c>
      <c r="E227" s="18"/>
      <c r="G227" s="106"/>
      <c r="I227" s="80"/>
      <c r="J227" s="80"/>
    </row>
    <row r="228" spans="1:10">
      <c r="A228" s="16" t="s">
        <v>25</v>
      </c>
      <c r="B228" s="17" t="s">
        <v>18</v>
      </c>
      <c r="C228" s="89">
        <f>C220</f>
        <v>2798.4</v>
      </c>
      <c r="D228" s="249">
        <f>+C227*D227/1000</f>
        <v>0.02</v>
      </c>
      <c r="E228" s="18">
        <f>C228*D228</f>
        <v>55.968000000000004</v>
      </c>
      <c r="G228" s="106"/>
      <c r="I228" s="80"/>
      <c r="J228" s="80"/>
    </row>
    <row r="229" spans="1:10" ht="13.5" thickBot="1">
      <c r="A229" s="97" t="s">
        <v>255</v>
      </c>
      <c r="B229" s="98" t="s">
        <v>128</v>
      </c>
      <c r="C229" s="250"/>
      <c r="D229" s="251">
        <f>IFERROR(D220+D222+D224+D226+D228,0)</f>
        <v>2.9360499999999998</v>
      </c>
      <c r="E229" s="18"/>
      <c r="G229" s="106"/>
      <c r="I229" s="80"/>
      <c r="J229" s="80"/>
    </row>
    <row r="230" spans="1:10" ht="13.5" thickBot="1">
      <c r="F230" s="21">
        <f>SUM(E219:E228)</f>
        <v>8216.2423200000012</v>
      </c>
      <c r="I230" s="80"/>
      <c r="J230" s="80"/>
    </row>
    <row r="231" spans="1:10" ht="11.25" customHeight="1">
      <c r="I231" s="80"/>
      <c r="J231" s="80"/>
    </row>
    <row r="232" spans="1:10" ht="13.5" thickBot="1">
      <c r="A232" s="9" t="s">
        <v>55</v>
      </c>
      <c r="I232" s="80"/>
      <c r="J232" s="80"/>
    </row>
    <row r="233" spans="1:10" ht="13.5" thickBot="1">
      <c r="A233" s="57" t="s">
        <v>65</v>
      </c>
      <c r="B233" s="58" t="s">
        <v>66</v>
      </c>
      <c r="C233" s="58" t="s">
        <v>42</v>
      </c>
      <c r="D233" s="59" t="s">
        <v>241</v>
      </c>
      <c r="E233" s="59" t="s">
        <v>67</v>
      </c>
      <c r="F233" s="60" t="s">
        <v>68</v>
      </c>
      <c r="I233" s="80"/>
      <c r="J233" s="80"/>
    </row>
    <row r="234" spans="1:10" ht="13.5" thickBot="1">
      <c r="A234" s="13" t="s">
        <v>126</v>
      </c>
      <c r="B234" s="14" t="s">
        <v>128</v>
      </c>
      <c r="C234" s="89">
        <f>C220</f>
        <v>2798.4</v>
      </c>
      <c r="D234" s="82">
        <v>0.85</v>
      </c>
      <c r="E234" s="15">
        <f>C234*D234</f>
        <v>2378.64</v>
      </c>
      <c r="I234" s="80"/>
      <c r="J234" s="80"/>
    </row>
    <row r="235" spans="1:10" ht="13.5" thickBot="1">
      <c r="F235" s="21">
        <f>E234</f>
        <v>2378.64</v>
      </c>
      <c r="I235" s="80"/>
      <c r="J235" s="80"/>
    </row>
    <row r="236" spans="1:10" ht="11.25" customHeight="1">
      <c r="I236" s="80"/>
      <c r="J236" s="80"/>
    </row>
    <row r="237" spans="1:10" ht="13.5" thickBot="1">
      <c r="A237" s="9" t="s">
        <v>63</v>
      </c>
      <c r="I237" s="80"/>
      <c r="J237" s="80"/>
    </row>
    <row r="238" spans="1:10" ht="13.5" thickBot="1">
      <c r="A238" s="57" t="s">
        <v>65</v>
      </c>
      <c r="B238" s="58" t="s">
        <v>66</v>
      </c>
      <c r="C238" s="58" t="s">
        <v>42</v>
      </c>
      <c r="D238" s="59" t="s">
        <v>241</v>
      </c>
      <c r="E238" s="59" t="s">
        <v>67</v>
      </c>
      <c r="F238" s="60" t="s">
        <v>68</v>
      </c>
      <c r="I238" s="80"/>
      <c r="J238" s="80"/>
    </row>
    <row r="239" spans="1:10">
      <c r="A239" s="277" t="s">
        <v>302</v>
      </c>
      <c r="B239" s="14" t="s">
        <v>10</v>
      </c>
      <c r="C239" s="90">
        <v>10</v>
      </c>
      <c r="D239" s="82">
        <v>2299.6</v>
      </c>
      <c r="E239" s="15">
        <f>C239*D239</f>
        <v>22996</v>
      </c>
      <c r="I239" s="80"/>
      <c r="J239" s="80"/>
    </row>
    <row r="240" spans="1:10">
      <c r="A240" s="13" t="s">
        <v>129</v>
      </c>
      <c r="B240" s="14" t="s">
        <v>10</v>
      </c>
      <c r="C240" s="90">
        <v>1.5</v>
      </c>
      <c r="D240" s="100"/>
      <c r="E240" s="15"/>
      <c r="I240" s="80"/>
      <c r="J240" s="80"/>
    </row>
    <row r="241" spans="1:10">
      <c r="A241" s="13" t="s">
        <v>73</v>
      </c>
      <c r="B241" s="14" t="s">
        <v>10</v>
      </c>
      <c r="C241" s="15">
        <f>C239*C240</f>
        <v>15</v>
      </c>
      <c r="D241" s="82">
        <v>900</v>
      </c>
      <c r="E241" s="15">
        <f>C241*D241</f>
        <v>13500</v>
      </c>
      <c r="I241" s="80"/>
      <c r="J241" s="80"/>
    </row>
    <row r="242" spans="1:10">
      <c r="A242" s="285" t="s">
        <v>300</v>
      </c>
      <c r="B242" s="17" t="s">
        <v>26</v>
      </c>
      <c r="C242" s="93">
        <v>55000</v>
      </c>
      <c r="D242" s="18">
        <f>E239+E241</f>
        <v>36496</v>
      </c>
      <c r="E242" s="18">
        <f>IFERROR(D242/C242,"-")</f>
        <v>0.66356363636363636</v>
      </c>
      <c r="I242" s="80"/>
      <c r="J242" s="80"/>
    </row>
    <row r="243" spans="1:10" ht="13.5" thickBot="1">
      <c r="A243" s="285" t="s">
        <v>301</v>
      </c>
      <c r="B243" s="17" t="s">
        <v>18</v>
      </c>
      <c r="C243" s="89">
        <f>B216</f>
        <v>2798.4</v>
      </c>
      <c r="D243" s="18">
        <f>E242</f>
        <v>0.66356363636363636</v>
      </c>
      <c r="E243" s="18">
        <f>IFERROR(C243*D243,0)</f>
        <v>1856.9164800000001</v>
      </c>
      <c r="I243" s="80"/>
      <c r="J243" s="80"/>
    </row>
    <row r="244" spans="1:10" ht="13.5" thickBot="1">
      <c r="F244" s="21">
        <f>E243</f>
        <v>1856.9164800000001</v>
      </c>
      <c r="I244" s="80"/>
      <c r="J244" s="80"/>
    </row>
    <row r="245" spans="1:10" ht="11.25" customHeight="1">
      <c r="I245" s="80"/>
      <c r="J245" s="80"/>
    </row>
    <row r="246" spans="1:10" ht="11.25" customHeight="1" thickBot="1">
      <c r="G246" s="9"/>
    </row>
    <row r="247" spans="1:10" ht="13.5" thickBot="1">
      <c r="A247" s="24" t="s">
        <v>229</v>
      </c>
      <c r="B247" s="25"/>
      <c r="C247" s="25"/>
      <c r="D247" s="26"/>
      <c r="E247" s="27"/>
      <c r="F247" s="21">
        <f>+SUM(F176:F246)</f>
        <v>14799.322733928571</v>
      </c>
      <c r="G247" s="9"/>
    </row>
    <row r="248" spans="1:10" ht="11.25" customHeight="1">
      <c r="G248" s="9"/>
    </row>
    <row r="249" spans="1:10">
      <c r="A249" s="11" t="s">
        <v>77</v>
      </c>
      <c r="B249" s="11"/>
      <c r="C249" s="11"/>
      <c r="D249" s="34"/>
      <c r="E249" s="34"/>
      <c r="F249" s="33"/>
      <c r="G249" s="9"/>
    </row>
    <row r="250" spans="1:10" ht="11.25" customHeight="1" thickBot="1">
      <c r="G250" s="9"/>
    </row>
    <row r="251" spans="1:10" ht="13.5" thickBot="1">
      <c r="A251" s="57" t="s">
        <v>65</v>
      </c>
      <c r="B251" s="58" t="s">
        <v>66</v>
      </c>
      <c r="C251" s="58" t="s">
        <v>42</v>
      </c>
      <c r="D251" s="59" t="s">
        <v>241</v>
      </c>
      <c r="E251" s="59" t="s">
        <v>67</v>
      </c>
      <c r="F251" s="60" t="s">
        <v>68</v>
      </c>
      <c r="G251" s="9"/>
    </row>
    <row r="252" spans="1:10">
      <c r="A252" s="16" t="s">
        <v>74</v>
      </c>
      <c r="B252" s="17" t="s">
        <v>10</v>
      </c>
      <c r="C252" s="95">
        <v>2</v>
      </c>
      <c r="D252" s="82">
        <v>45</v>
      </c>
      <c r="E252" s="18">
        <f>C252*D252</f>
        <v>90</v>
      </c>
      <c r="F252" s="52"/>
      <c r="G252" s="9"/>
    </row>
    <row r="253" spans="1:10">
      <c r="A253" s="16" t="s">
        <v>28</v>
      </c>
      <c r="B253" s="17" t="s">
        <v>10</v>
      </c>
      <c r="C253" s="95">
        <v>2</v>
      </c>
      <c r="D253" s="82">
        <v>45</v>
      </c>
      <c r="E253" s="18">
        <f>C253*D253</f>
        <v>90</v>
      </c>
      <c r="F253" s="52"/>
      <c r="G253" s="9"/>
    </row>
    <row r="254" spans="1:10">
      <c r="A254" s="16" t="s">
        <v>29</v>
      </c>
      <c r="B254" s="17" t="s">
        <v>10</v>
      </c>
      <c r="C254" s="95">
        <v>2</v>
      </c>
      <c r="D254" s="82">
        <v>30</v>
      </c>
      <c r="E254" s="18">
        <f>C254*D254</f>
        <v>60</v>
      </c>
      <c r="F254" s="52"/>
      <c r="G254" s="9"/>
    </row>
    <row r="255" spans="1:10">
      <c r="A255" s="16" t="s">
        <v>58</v>
      </c>
      <c r="B255" s="17" t="s">
        <v>59</v>
      </c>
      <c r="C255" s="95">
        <v>2</v>
      </c>
      <c r="D255" s="82">
        <v>70</v>
      </c>
      <c r="E255" s="18">
        <f>C255*D255</f>
        <v>140</v>
      </c>
      <c r="F255" s="52"/>
      <c r="G255" s="9"/>
    </row>
    <row r="256" spans="1:10" ht="13.5" thickBot="1">
      <c r="A256" s="16" t="s">
        <v>61</v>
      </c>
      <c r="B256" s="17" t="s">
        <v>59</v>
      </c>
      <c r="C256" s="95">
        <v>2</v>
      </c>
      <c r="D256" s="82">
        <v>70</v>
      </c>
      <c r="E256" s="18">
        <f>C256*D256</f>
        <v>140</v>
      </c>
      <c r="F256" s="52"/>
      <c r="G256" s="9"/>
    </row>
    <row r="257" spans="1:7" ht="13.5" thickBot="1">
      <c r="A257" s="11"/>
      <c r="B257" s="11"/>
      <c r="C257" s="11"/>
      <c r="D257" s="11"/>
      <c r="E257" s="34"/>
      <c r="F257" s="21">
        <f>SUM(E252:E256)</f>
        <v>520</v>
      </c>
      <c r="G257" s="9"/>
    </row>
    <row r="258" spans="1:7" ht="11.25" customHeight="1" thickBot="1">
      <c r="G258" s="9"/>
    </row>
    <row r="259" spans="1:7" ht="13.5" thickBot="1">
      <c r="A259" s="24" t="s">
        <v>230</v>
      </c>
      <c r="B259" s="25"/>
      <c r="C259" s="25"/>
      <c r="D259" s="26"/>
      <c r="E259" s="27"/>
      <c r="F259" s="21">
        <f>+F257</f>
        <v>520</v>
      </c>
      <c r="G259" s="9"/>
    </row>
    <row r="260" spans="1:7" ht="11.25" customHeight="1">
      <c r="G260" s="9"/>
    </row>
    <row r="261" spans="1:7">
      <c r="A261" s="11" t="s">
        <v>78</v>
      </c>
      <c r="B261" s="11"/>
      <c r="C261" s="11"/>
      <c r="D261" s="34"/>
      <c r="E261" s="34"/>
      <c r="F261" s="33"/>
    </row>
    <row r="262" spans="1:7" ht="11.25" customHeight="1" thickBot="1"/>
    <row r="263" spans="1:7" ht="13.5" thickBot="1">
      <c r="A263" s="57" t="s">
        <v>65</v>
      </c>
      <c r="B263" s="58" t="s">
        <v>66</v>
      </c>
      <c r="C263" s="58" t="s">
        <v>42</v>
      </c>
      <c r="D263" s="59" t="s">
        <v>241</v>
      </c>
      <c r="E263" s="59" t="s">
        <v>67</v>
      </c>
      <c r="F263" s="60" t="s">
        <v>68</v>
      </c>
    </row>
    <row r="264" spans="1:7">
      <c r="A264" s="16" t="s">
        <v>227</v>
      </c>
      <c r="B264" s="51" t="s">
        <v>59</v>
      </c>
      <c r="C264" s="66">
        <v>2</v>
      </c>
      <c r="D264" s="84">
        <v>850</v>
      </c>
      <c r="E264" s="18">
        <f>+D264*C264</f>
        <v>1700</v>
      </c>
      <c r="F264" s="52"/>
    </row>
    <row r="265" spans="1:7">
      <c r="A265" s="16" t="s">
        <v>62</v>
      </c>
      <c r="B265" s="51" t="s">
        <v>8</v>
      </c>
      <c r="C265" s="17">
        <v>60</v>
      </c>
      <c r="D265" s="77">
        <f>SUM(E264:E264)</f>
        <v>1700</v>
      </c>
      <c r="E265" s="77">
        <f>+D265/C265</f>
        <v>28.333333333333332</v>
      </c>
      <c r="F265" s="52"/>
    </row>
    <row r="266" spans="1:7">
      <c r="A266" s="16" t="s">
        <v>228</v>
      </c>
      <c r="B266" s="17" t="s">
        <v>10</v>
      </c>
      <c r="C266" s="66">
        <f>+C264</f>
        <v>2</v>
      </c>
      <c r="D266" s="84">
        <v>100</v>
      </c>
      <c r="E266" s="18">
        <f>C266*D266</f>
        <v>200</v>
      </c>
      <c r="F266" s="52"/>
    </row>
    <row r="267" spans="1:7" ht="13.5" thickBot="1">
      <c r="A267" s="16" t="s">
        <v>39</v>
      </c>
      <c r="B267" s="51" t="s">
        <v>8</v>
      </c>
      <c r="C267" s="17">
        <v>1</v>
      </c>
      <c r="D267" s="77">
        <f>+E266</f>
        <v>200</v>
      </c>
      <c r="E267" s="77">
        <f>+D267/C267</f>
        <v>200</v>
      </c>
      <c r="F267" s="52"/>
    </row>
    <row r="268" spans="1:7" ht="13.5" thickBot="1">
      <c r="A268" s="12"/>
      <c r="B268" s="12"/>
      <c r="C268" s="12"/>
      <c r="D268" s="117" t="s">
        <v>203</v>
      </c>
      <c r="E268" s="49">
        <f>$B$42</f>
        <v>0.6</v>
      </c>
      <c r="F268" s="21">
        <f>(E265+E267)*E268</f>
        <v>137</v>
      </c>
    </row>
    <row r="269" spans="1:7" s="50" customFormat="1" ht="11.25" customHeight="1" thickBot="1">
      <c r="A269" s="9"/>
      <c r="B269" s="9"/>
      <c r="C269" s="9"/>
      <c r="D269" s="10"/>
      <c r="E269" s="10"/>
      <c r="F269" s="10"/>
      <c r="G269" s="79"/>
    </row>
    <row r="270" spans="1:7" ht="13.5" thickBot="1">
      <c r="A270" s="24" t="s">
        <v>226</v>
      </c>
      <c r="B270" s="25"/>
      <c r="C270" s="25"/>
      <c r="D270" s="26"/>
      <c r="E270" s="27"/>
      <c r="F270" s="21">
        <f>+F268</f>
        <v>137</v>
      </c>
    </row>
    <row r="271" spans="1:7">
      <c r="A271" s="11" t="s">
        <v>296</v>
      </c>
      <c r="B271" s="11" t="s">
        <v>262</v>
      </c>
      <c r="C271" s="11">
        <v>70</v>
      </c>
      <c r="D271" s="34">
        <v>189</v>
      </c>
      <c r="E271" s="34"/>
      <c r="F271" s="282">
        <f>C271*D271</f>
        <v>13230</v>
      </c>
    </row>
    <row r="272" spans="1:7" ht="11.25" customHeight="1" thickBot="1"/>
    <row r="273" spans="1:6" ht="17.25" customHeight="1" thickBot="1">
      <c r="A273" s="24" t="s">
        <v>231</v>
      </c>
      <c r="B273" s="28"/>
      <c r="C273" s="28"/>
      <c r="D273" s="29"/>
      <c r="E273" s="30"/>
      <c r="F273" s="22">
        <f>+F134+F168+F247+F259+F270+F271</f>
        <v>37527.728717874808</v>
      </c>
    </row>
    <row r="274" spans="1:6" ht="11.25" customHeight="1"/>
    <row r="275" spans="1:6">
      <c r="A275" s="11" t="s">
        <v>297</v>
      </c>
    </row>
    <row r="276" spans="1:6" ht="11.25" customHeight="1" thickBot="1"/>
    <row r="277" spans="1:6" ht="13.5" thickBot="1">
      <c r="A277" s="57" t="s">
        <v>65</v>
      </c>
      <c r="B277" s="58" t="s">
        <v>66</v>
      </c>
      <c r="C277" s="58" t="s">
        <v>42</v>
      </c>
      <c r="D277" s="59" t="s">
        <v>241</v>
      </c>
      <c r="E277" s="59" t="s">
        <v>67</v>
      </c>
      <c r="F277" s="60" t="s">
        <v>68</v>
      </c>
    </row>
    <row r="278" spans="1:6" ht="13.5" thickBot="1">
      <c r="A278" s="13" t="s">
        <v>38</v>
      </c>
      <c r="B278" s="14" t="s">
        <v>2</v>
      </c>
      <c r="C278" s="132">
        <v>22</v>
      </c>
      <c r="D278" s="15">
        <f>+F273</f>
        <v>37527.728717874808</v>
      </c>
      <c r="E278" s="15">
        <f>C278*D278/100</f>
        <v>8256.100317932458</v>
      </c>
    </row>
    <row r="279" spans="1:6" ht="13.5" thickBot="1">
      <c r="F279" s="21">
        <f>+E278</f>
        <v>8256.100317932458</v>
      </c>
    </row>
    <row r="280" spans="1:6" ht="11.25" customHeight="1" thickBot="1"/>
    <row r="281" spans="1:6" ht="13.5" thickBot="1">
      <c r="A281" s="24" t="s">
        <v>246</v>
      </c>
      <c r="B281" s="28"/>
      <c r="C281" s="28"/>
      <c r="D281" s="29"/>
      <c r="E281" s="30"/>
      <c r="F281" s="22">
        <f>F279</f>
        <v>8256.100317932458</v>
      </c>
    </row>
    <row r="282" spans="1:6">
      <c r="A282" s="11"/>
      <c r="B282" s="11"/>
      <c r="C282" s="11"/>
      <c r="D282" s="34"/>
      <c r="E282" s="34"/>
      <c r="F282" s="33"/>
    </row>
    <row r="283" spans="1:6" ht="11.25" customHeight="1" thickBot="1"/>
    <row r="284" spans="1:6" ht="24.75" customHeight="1" thickBot="1">
      <c r="A284" s="24" t="s">
        <v>232</v>
      </c>
      <c r="B284" s="28"/>
      <c r="C284" s="28"/>
      <c r="D284" s="29"/>
      <c r="E284" s="30"/>
      <c r="F284" s="22">
        <f>F273+F281</f>
        <v>45783.82903580727</v>
      </c>
    </row>
    <row r="285" spans="1:6" ht="12.6" customHeight="1">
      <c r="A285" s="53"/>
      <c r="B285" s="53"/>
      <c r="C285" s="53"/>
      <c r="D285" s="54"/>
      <c r="E285" s="54"/>
      <c r="F285" s="54"/>
    </row>
    <row r="286" spans="1:6" ht="14.25">
      <c r="A286" s="8"/>
      <c r="B286" s="8"/>
      <c r="C286" s="8"/>
      <c r="D286" s="35"/>
      <c r="E286" s="35"/>
    </row>
    <row r="287" spans="1:6" ht="16.149999999999999" customHeight="1">
      <c r="A287" s="284" t="s">
        <v>299</v>
      </c>
      <c r="B287" s="230"/>
      <c r="C287" s="230"/>
      <c r="D287" s="231">
        <v>70</v>
      </c>
      <c r="E287" s="232" t="s">
        <v>27</v>
      </c>
    </row>
    <row r="288" spans="1:6" ht="13.5" thickBot="1"/>
    <row r="289" spans="1:7" ht="25.5" customHeight="1" thickBot="1">
      <c r="A289" s="24" t="s">
        <v>72</v>
      </c>
      <c r="B289" s="25"/>
      <c r="C289" s="25"/>
      <c r="D289" s="26"/>
      <c r="E289" s="233" t="s">
        <v>34</v>
      </c>
      <c r="F289" s="234">
        <f>IFERROR(F284/D287,"-")</f>
        <v>654.05470051153247</v>
      </c>
    </row>
    <row r="290" spans="1:7" ht="12.6" customHeight="1">
      <c r="A290" s="11"/>
      <c r="B290" s="11"/>
      <c r="C290" s="11"/>
      <c r="D290" s="34"/>
      <c r="E290" s="34"/>
      <c r="F290" s="34"/>
    </row>
    <row r="291" spans="1:7" s="4" customFormat="1" ht="9.75" customHeight="1">
      <c r="A291" s="38"/>
      <c r="B291" s="10"/>
      <c r="C291" s="10"/>
      <c r="D291" s="10"/>
      <c r="E291" s="10"/>
      <c r="F291" s="10"/>
      <c r="G291" s="6"/>
    </row>
    <row r="292" spans="1:7" s="4" customFormat="1" ht="9.75" customHeight="1">
      <c r="A292" s="38"/>
      <c r="B292" s="10"/>
      <c r="C292" s="10"/>
      <c r="D292" s="10"/>
      <c r="E292" s="10"/>
      <c r="F292" s="10"/>
      <c r="G292" s="6"/>
    </row>
    <row r="293" spans="1:7" s="4" customFormat="1" ht="9.75" customHeight="1">
      <c r="A293" s="38"/>
      <c r="B293" s="10"/>
      <c r="C293" s="10"/>
      <c r="D293" s="10"/>
      <c r="E293" s="10"/>
      <c r="F293" s="10"/>
      <c r="G293" s="6"/>
    </row>
    <row r="323" s="9" customFormat="1" ht="9" customHeight="1"/>
  </sheetData>
  <mergeCells count="7">
    <mergeCell ref="A38:D38"/>
    <mergeCell ref="A14:C14"/>
    <mergeCell ref="A1:F1"/>
    <mergeCell ref="A2:F2"/>
    <mergeCell ref="A31:D31"/>
    <mergeCell ref="A4:F4"/>
    <mergeCell ref="A30:E30"/>
  </mergeCells>
  <phoneticPr fontId="9" type="noConversion"/>
  <hyperlinks>
    <hyperlink ref="A190" location="AbaRemun" display="3.1.2. Remuneração do Capital"/>
    <hyperlink ref="A174" location="AbaDeprec" display="3.1.1. Depreciação"/>
  </hyperlinks>
  <pageMargins left="0.9055118110236221" right="0.51181102362204722" top="1.3385826771653544" bottom="0.74803149606299213" header="0.31496062992125984" footer="0.31496062992125984"/>
  <pageSetup paperSize="9" scale="76" fitToHeight="0" orientation="portrait" r:id="rId1"/>
  <headerFooter alignWithMargins="0">
    <oddFooter>&amp;R&amp;P de &amp;N</oddFooter>
  </headerFooter>
  <rowBreaks count="4" manualBreakCount="4">
    <brk id="43" max="5" man="1"/>
    <brk id="113" max="5" man="1"/>
    <brk id="169" max="5" man="1"/>
    <brk id="236" max="5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H53"/>
  <sheetViews>
    <sheetView topLeftCell="A10" workbookViewId="0">
      <selection sqref="A1:IV6"/>
    </sheetView>
  </sheetViews>
  <sheetFormatPr defaultRowHeight="12.75"/>
  <cols>
    <col min="1" max="1" width="13.5703125" style="1" customWidth="1"/>
    <col min="2" max="2" width="39.5703125" style="1" bestFit="1" customWidth="1"/>
    <col min="3" max="3" width="14.5703125" style="1" customWidth="1"/>
    <col min="4" max="4" width="37.28515625" style="1" customWidth="1"/>
    <col min="5" max="10" width="9.140625" style="1"/>
    <col min="11" max="11" width="11" style="1" bestFit="1" customWidth="1"/>
    <col min="12" max="16384" width="9.140625" style="1"/>
  </cols>
  <sheetData>
    <row r="1" spans="1:6" ht="18">
      <c r="A1" s="304" t="s">
        <v>235</v>
      </c>
      <c r="B1" s="305"/>
      <c r="C1" s="306"/>
      <c r="D1" s="139"/>
      <c r="E1" s="139"/>
      <c r="F1" s="139"/>
    </row>
    <row r="2" spans="1:6" ht="14.25">
      <c r="A2" s="154" t="s">
        <v>149</v>
      </c>
      <c r="B2" s="155" t="s">
        <v>150</v>
      </c>
      <c r="C2" s="156" t="s">
        <v>151</v>
      </c>
      <c r="D2" s="157"/>
    </row>
    <row r="3" spans="1:6" ht="14.25">
      <c r="A3" s="154" t="s">
        <v>152</v>
      </c>
      <c r="B3" s="155" t="s">
        <v>43</v>
      </c>
      <c r="C3" s="158">
        <v>0.2</v>
      </c>
      <c r="D3" s="157"/>
    </row>
    <row r="4" spans="1:6" ht="14.25">
      <c r="A4" s="154" t="s">
        <v>153</v>
      </c>
      <c r="B4" s="155" t="s">
        <v>154</v>
      </c>
      <c r="C4" s="158">
        <v>1.4999999999999999E-2</v>
      </c>
      <c r="D4" s="157"/>
    </row>
    <row r="5" spans="1:6" ht="14.25">
      <c r="A5" s="154" t="s">
        <v>155</v>
      </c>
      <c r="B5" s="155" t="s">
        <v>156</v>
      </c>
      <c r="C5" s="158">
        <v>0.01</v>
      </c>
      <c r="D5" s="157"/>
    </row>
    <row r="6" spans="1:6" ht="14.25">
      <c r="A6" s="154" t="s">
        <v>157</v>
      </c>
      <c r="B6" s="155" t="s">
        <v>158</v>
      </c>
      <c r="C6" s="158">
        <v>2E-3</v>
      </c>
      <c r="D6" s="157"/>
    </row>
    <row r="7" spans="1:6" ht="14.25">
      <c r="A7" s="154" t="s">
        <v>159</v>
      </c>
      <c r="B7" s="155" t="s">
        <v>160</v>
      </c>
      <c r="C7" s="158">
        <v>6.0000000000000001E-3</v>
      </c>
      <c r="D7" s="157"/>
    </row>
    <row r="8" spans="1:6" ht="14.25">
      <c r="A8" s="154" t="s">
        <v>161</v>
      </c>
      <c r="B8" s="155" t="s">
        <v>162</v>
      </c>
      <c r="C8" s="158">
        <v>2.5000000000000001E-2</v>
      </c>
      <c r="D8" s="157"/>
    </row>
    <row r="9" spans="1:6" ht="14.25">
      <c r="A9" s="154" t="s">
        <v>163</v>
      </c>
      <c r="B9" s="155" t="s">
        <v>164</v>
      </c>
      <c r="C9" s="158">
        <v>0.03</v>
      </c>
      <c r="D9" s="157"/>
    </row>
    <row r="10" spans="1:6" ht="14.25">
      <c r="A10" s="154" t="s">
        <v>165</v>
      </c>
      <c r="B10" s="155" t="s">
        <v>44</v>
      </c>
      <c r="C10" s="158">
        <v>0.08</v>
      </c>
      <c r="D10" s="157"/>
    </row>
    <row r="11" spans="1:6" ht="15">
      <c r="A11" s="154" t="s">
        <v>166</v>
      </c>
      <c r="B11" s="159" t="s">
        <v>167</v>
      </c>
      <c r="C11" s="160">
        <f>SUM(C3:C10)</f>
        <v>0.36800000000000005</v>
      </c>
      <c r="D11" s="157"/>
    </row>
    <row r="12" spans="1:6" ht="15">
      <c r="A12" s="161"/>
      <c r="B12" s="162"/>
      <c r="C12" s="163"/>
      <c r="D12" s="157"/>
    </row>
    <row r="13" spans="1:6" ht="14.25">
      <c r="A13" s="154" t="s">
        <v>168</v>
      </c>
      <c r="B13" s="164" t="s">
        <v>169</v>
      </c>
      <c r="C13" s="158">
        <f>ROUND(IF('3.CAGED'!C22&gt;24,(1-12/'3.CAGED'!C22)*0.1111,0.1111-C22),4)</f>
        <v>6.1899999999999997E-2</v>
      </c>
      <c r="D13" s="157"/>
    </row>
    <row r="14" spans="1:6" ht="14.25">
      <c r="A14" s="154" t="s">
        <v>170</v>
      </c>
      <c r="B14" s="164" t="s">
        <v>171</v>
      </c>
      <c r="C14" s="158">
        <f>ROUND('3.CAGED'!C26/'3.CAGED'!C23,4)</f>
        <v>8.3299999999999999E-2</v>
      </c>
      <c r="D14" s="157"/>
    </row>
    <row r="15" spans="1:6" ht="14.25">
      <c r="A15" s="154" t="s">
        <v>224</v>
      </c>
      <c r="B15" s="164" t="s">
        <v>173</v>
      </c>
      <c r="C15" s="158">
        <v>5.9999999999999995E-4</v>
      </c>
      <c r="D15" s="157"/>
    </row>
    <row r="16" spans="1:6" ht="14.25">
      <c r="A16" s="154" t="s">
        <v>172</v>
      </c>
      <c r="B16" s="164" t="s">
        <v>175</v>
      </c>
      <c r="C16" s="158">
        <v>8.2000000000000007E-3</v>
      </c>
      <c r="D16" s="157"/>
    </row>
    <row r="17" spans="1:8" ht="14.25">
      <c r="A17" s="154" t="s">
        <v>174</v>
      </c>
      <c r="B17" s="164" t="s">
        <v>177</v>
      </c>
      <c r="C17" s="158">
        <v>3.0999999999999999E-3</v>
      </c>
      <c r="D17" s="157"/>
    </row>
    <row r="18" spans="1:8" ht="14.25">
      <c r="A18" s="154" t="s">
        <v>176</v>
      </c>
      <c r="B18" s="164" t="s">
        <v>178</v>
      </c>
      <c r="C18" s="158">
        <v>1.66E-2</v>
      </c>
      <c r="D18" s="157"/>
    </row>
    <row r="19" spans="1:8" ht="15">
      <c r="A19" s="154" t="s">
        <v>179</v>
      </c>
      <c r="B19" s="159" t="s">
        <v>180</v>
      </c>
      <c r="C19" s="160">
        <f>SUM(C13:C18)</f>
        <v>0.17369999999999999</v>
      </c>
      <c r="D19" s="165"/>
    </row>
    <row r="20" spans="1:8" ht="15">
      <c r="A20" s="161"/>
      <c r="B20" s="162"/>
      <c r="C20" s="163"/>
      <c r="D20" s="165"/>
    </row>
    <row r="21" spans="1:8" ht="14.25">
      <c r="A21" s="154" t="s">
        <v>181</v>
      </c>
      <c r="B21" s="155" t="s">
        <v>182</v>
      </c>
      <c r="C21" s="158">
        <f>ROUND(('3.CAGED'!C27) *'3.CAGED'!C20/'3.CAGED'!C23,4)</f>
        <v>2.5600000000000001E-2</v>
      </c>
      <c r="D21" s="157"/>
      <c r="E21" s="166"/>
    </row>
    <row r="22" spans="1:8" ht="14.25">
      <c r="A22" s="154" t="s">
        <v>223</v>
      </c>
      <c r="B22" s="155" t="s">
        <v>184</v>
      </c>
      <c r="C22" s="158">
        <f>ROUND(IF('3.CAGED'!C22&gt;12,12/'3.CAGED'!C22*0.1111,0.1111),4)</f>
        <v>4.9200000000000001E-2</v>
      </c>
      <c r="D22" s="157"/>
      <c r="H22" s="167"/>
    </row>
    <row r="23" spans="1:8" ht="14.25">
      <c r="A23" s="154" t="s">
        <v>183</v>
      </c>
      <c r="B23" s="155" t="s">
        <v>186</v>
      </c>
      <c r="C23" s="158">
        <f>C21*C22</f>
        <v>1.2595200000000001E-3</v>
      </c>
      <c r="D23" s="157"/>
      <c r="E23" s="166"/>
    </row>
    <row r="24" spans="1:8" ht="14.25">
      <c r="A24" s="154" t="s">
        <v>185</v>
      </c>
      <c r="B24" s="155" t="s">
        <v>188</v>
      </c>
      <c r="C24" s="158">
        <f>ROUND(('3.CAGED'!C23+'3.CAGED'!C24+'3.CAGED'!C26)/'3.CAGED'!C21*'3.CAGED'!C28*'3.CAGED'!C29*'3.CAGED'!C20/'3.CAGED'!C23,4)</f>
        <v>2.0500000000000001E-2</v>
      </c>
      <c r="D24" s="157"/>
      <c r="G24" s="166"/>
    </row>
    <row r="25" spans="1:8" ht="14.25">
      <c r="A25" s="154" t="s">
        <v>187</v>
      </c>
      <c r="B25" s="155" t="s">
        <v>189</v>
      </c>
      <c r="C25" s="158">
        <f>ROUND(('3.CAGED'!C25/'3.CAGED'!C23)*'3.CAGED'!C20/12,4)</f>
        <v>1.8E-3</v>
      </c>
      <c r="D25" s="157"/>
    </row>
    <row r="26" spans="1:8" ht="15">
      <c r="A26" s="154" t="s">
        <v>190</v>
      </c>
      <c r="B26" s="159" t="s">
        <v>191</v>
      </c>
      <c r="C26" s="160">
        <f>SUM(C21:C25)</f>
        <v>9.8359520000000006E-2</v>
      </c>
      <c r="D26" s="165"/>
    </row>
    <row r="27" spans="1:8" ht="15">
      <c r="A27" s="161"/>
      <c r="B27" s="162"/>
      <c r="C27" s="163"/>
      <c r="D27" s="165"/>
    </row>
    <row r="28" spans="1:8" ht="14.25">
      <c r="A28" s="154" t="s">
        <v>192</v>
      </c>
      <c r="B28" s="155" t="s">
        <v>193</v>
      </c>
      <c r="C28" s="158">
        <f>ROUND(C11*C19,4)</f>
        <v>6.3899999999999998E-2</v>
      </c>
      <c r="D28" s="157"/>
    </row>
    <row r="29" spans="1:8" ht="28.5">
      <c r="A29" s="154" t="s">
        <v>194</v>
      </c>
      <c r="B29" s="168" t="s">
        <v>286</v>
      </c>
      <c r="C29" s="158">
        <f>ROUND((C21*C10),4)</f>
        <v>2E-3</v>
      </c>
      <c r="D29" s="157"/>
    </row>
    <row r="30" spans="1:8" ht="15">
      <c r="A30" s="154" t="s">
        <v>195</v>
      </c>
      <c r="B30" s="159" t="s">
        <v>196</v>
      </c>
      <c r="C30" s="160">
        <f>SUM(C28:C29)</f>
        <v>6.59E-2</v>
      </c>
      <c r="D30" s="165"/>
    </row>
    <row r="31" spans="1:8" ht="15.75" thickBot="1">
      <c r="A31" s="169"/>
      <c r="B31" s="170" t="s">
        <v>197</v>
      </c>
      <c r="C31" s="171">
        <f>C30+C26+C19+C11</f>
        <v>0.70595951999999995</v>
      </c>
      <c r="D31" s="165"/>
    </row>
    <row r="32" spans="1:8" ht="15">
      <c r="A32" s="157"/>
      <c r="B32" s="172"/>
      <c r="C32" s="173"/>
      <c r="D32" s="174"/>
    </row>
    <row r="33" spans="1:4" ht="14.25">
      <c r="A33" s="157"/>
      <c r="B33" s="157"/>
      <c r="C33" s="175"/>
      <c r="D33" s="176"/>
    </row>
    <row r="34" spans="1:4" ht="14.25">
      <c r="A34" s="157"/>
      <c r="B34" s="157"/>
      <c r="C34" s="175"/>
      <c r="D34" s="157"/>
    </row>
    <row r="35" spans="1:4" ht="14.25">
      <c r="A35" s="157"/>
      <c r="B35" s="157"/>
      <c r="C35" s="175"/>
      <c r="D35" s="157"/>
    </row>
    <row r="36" spans="1:4" ht="14.25">
      <c r="A36" s="157"/>
      <c r="B36" s="157"/>
      <c r="C36" s="175"/>
      <c r="D36" s="157"/>
    </row>
    <row r="37" spans="1:4" ht="15">
      <c r="A37" s="157"/>
      <c r="B37" s="172"/>
      <c r="C37" s="173"/>
      <c r="D37" s="157"/>
    </row>
    <row r="38" spans="1:4" ht="15">
      <c r="A38" s="165"/>
      <c r="B38" s="172"/>
      <c r="C38" s="173"/>
      <c r="D38" s="165"/>
    </row>
    <row r="39" spans="1:4" ht="16.5">
      <c r="A39" s="177"/>
    </row>
    <row r="40" spans="1:4">
      <c r="A40" s="178"/>
      <c r="B40" s="179"/>
      <c r="C40" s="179"/>
    </row>
    <row r="41" spans="1:4" ht="14.25">
      <c r="A41" s="157"/>
      <c r="B41" s="180"/>
      <c r="C41" s="179"/>
    </row>
    <row r="42" spans="1:4" ht="14.25">
      <c r="A42" s="157"/>
      <c r="B42" s="180"/>
      <c r="C42" s="157"/>
    </row>
    <row r="43" spans="1:4" ht="14.25">
      <c r="A43" s="157"/>
      <c r="B43" s="175"/>
      <c r="C43" s="179"/>
    </row>
    <row r="44" spans="1:4" ht="14.25">
      <c r="A44" s="157"/>
      <c r="B44" s="180"/>
      <c r="C44" s="157"/>
    </row>
    <row r="45" spans="1:4" ht="14.25">
      <c r="A45" s="157"/>
      <c r="B45" s="175"/>
      <c r="C45" s="179"/>
    </row>
    <row r="46" spans="1:4" ht="14.25">
      <c r="A46" s="157"/>
      <c r="B46" s="180"/>
      <c r="C46" s="157"/>
    </row>
    <row r="47" spans="1:4" ht="14.25">
      <c r="A47" s="157"/>
      <c r="B47" s="175"/>
      <c r="C47" s="179"/>
    </row>
    <row r="48" spans="1:4" ht="14.25">
      <c r="A48" s="157"/>
      <c r="B48" s="180"/>
      <c r="C48" s="157"/>
    </row>
    <row r="49" spans="1:3" ht="14.25">
      <c r="A49" s="157"/>
      <c r="B49" s="175"/>
      <c r="C49" s="179"/>
    </row>
    <row r="50" spans="1:3" ht="16.5">
      <c r="A50" s="177"/>
    </row>
    <row r="53" spans="1:3">
      <c r="A53" s="181"/>
    </row>
  </sheetData>
  <mergeCells count="1">
    <mergeCell ref="A1:C1"/>
  </mergeCells>
  <pageMargins left="0.9055118110236221" right="0.51181102362204722" top="0.74803149606299213" bottom="0.74803149606299213" header="0.31496062992125984" footer="0.31496062992125984"/>
  <pageSetup paperSize="9" orientation="portrait" verticalDpi="597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30"/>
  <sheetViews>
    <sheetView topLeftCell="A16" workbookViewId="0">
      <selection activeCell="B31" sqref="B31"/>
    </sheetView>
  </sheetViews>
  <sheetFormatPr defaultRowHeight="12.75"/>
  <cols>
    <col min="1" max="1" width="8.5703125" style="1" customWidth="1"/>
    <col min="2" max="2" width="67.140625" style="1" customWidth="1"/>
    <col min="3" max="3" width="13.7109375" style="1" customWidth="1"/>
    <col min="4" max="4" width="10.28515625" style="1" customWidth="1"/>
    <col min="5" max="5" width="13.7109375" style="1" customWidth="1"/>
    <col min="6" max="16384" width="9.140625" style="1"/>
  </cols>
  <sheetData>
    <row r="1" spans="1:3" ht="18">
      <c r="B1" s="307" t="s">
        <v>233</v>
      </c>
      <c r="C1" s="308"/>
    </row>
    <row r="2" spans="1:3" ht="15">
      <c r="B2" s="144" t="s">
        <v>212</v>
      </c>
      <c r="C2" s="182"/>
    </row>
    <row r="3" spans="1:3" ht="15">
      <c r="B3" s="145" t="s">
        <v>133</v>
      </c>
      <c r="C3" s="146">
        <v>2100</v>
      </c>
    </row>
    <row r="4" spans="1:3" ht="15">
      <c r="B4" s="147" t="s">
        <v>134</v>
      </c>
      <c r="C4" s="146">
        <v>2031</v>
      </c>
    </row>
    <row r="5" spans="1:3" ht="14.25">
      <c r="B5" s="183" t="s">
        <v>135</v>
      </c>
      <c r="C5" s="184">
        <v>44</v>
      </c>
    </row>
    <row r="6" spans="1:3" ht="14.25">
      <c r="B6" s="183" t="s">
        <v>136</v>
      </c>
      <c r="C6" s="184">
        <v>1192</v>
      </c>
    </row>
    <row r="7" spans="1:3" ht="14.25">
      <c r="B7" s="183" t="s">
        <v>137</v>
      </c>
      <c r="C7" s="184">
        <v>372</v>
      </c>
    </row>
    <row r="8" spans="1:3" ht="14.25">
      <c r="B8" s="183" t="s">
        <v>138</v>
      </c>
      <c r="C8" s="184">
        <v>22</v>
      </c>
    </row>
    <row r="9" spans="1:3" ht="14.25">
      <c r="B9" s="183" t="s">
        <v>139</v>
      </c>
      <c r="C9" s="184">
        <v>350</v>
      </c>
    </row>
    <row r="10" spans="1:3" ht="14.25">
      <c r="B10" s="183" t="s">
        <v>140</v>
      </c>
      <c r="C10" s="184">
        <v>1</v>
      </c>
    </row>
    <row r="11" spans="1:3" ht="14.25">
      <c r="B11" s="183" t="s">
        <v>141</v>
      </c>
      <c r="C11" s="184">
        <v>30</v>
      </c>
    </row>
    <row r="12" spans="1:3" ht="14.25">
      <c r="B12" s="185" t="s">
        <v>142</v>
      </c>
      <c r="C12" s="186">
        <v>0</v>
      </c>
    </row>
    <row r="13" spans="1:3" ht="14.25">
      <c r="B13" s="281" t="s">
        <v>292</v>
      </c>
      <c r="C13" s="186">
        <v>0</v>
      </c>
    </row>
    <row r="14" spans="1:3" ht="15">
      <c r="A14" s="1" t="s">
        <v>143</v>
      </c>
      <c r="B14" s="144" t="s">
        <v>144</v>
      </c>
      <c r="C14" s="182"/>
    </row>
    <row r="15" spans="1:3" ht="14.25">
      <c r="B15" s="187" t="s">
        <v>294</v>
      </c>
      <c r="C15" s="188">
        <v>4625</v>
      </c>
    </row>
    <row r="16" spans="1:3" ht="14.25">
      <c r="B16" s="183" t="s">
        <v>295</v>
      </c>
      <c r="C16" s="184">
        <v>4694</v>
      </c>
    </row>
    <row r="17" spans="2:5" ht="14.25">
      <c r="B17" s="183" t="s">
        <v>293</v>
      </c>
      <c r="C17" s="206">
        <f>C3-C4</f>
        <v>69</v>
      </c>
    </row>
    <row r="18" spans="2:5" ht="14.25">
      <c r="B18" s="189"/>
      <c r="C18" s="190"/>
    </row>
    <row r="19" spans="2:5" s="102" customFormat="1" ht="15">
      <c r="B19" s="145" t="s">
        <v>146</v>
      </c>
      <c r="C19" s="191">
        <f>MEDIAN(C15,C16)</f>
        <v>4659.5</v>
      </c>
    </row>
    <row r="20" spans="2:5" ht="15">
      <c r="B20" s="147" t="s">
        <v>290</v>
      </c>
      <c r="C20" s="280">
        <f>C6/C19</f>
        <v>0.25582144006867691</v>
      </c>
    </row>
    <row r="21" spans="2:5" ht="15">
      <c r="B21" s="147" t="s">
        <v>291</v>
      </c>
      <c r="C21" s="280">
        <f>MEDIAN(C3,C4)/C19</f>
        <v>0.44328790642772831</v>
      </c>
      <c r="E21" s="254"/>
    </row>
    <row r="22" spans="2:5" s="102" customFormat="1" ht="15">
      <c r="B22" s="147" t="s">
        <v>251</v>
      </c>
      <c r="C22" s="278">
        <f>12/C21</f>
        <v>27.070442992011618</v>
      </c>
    </row>
    <row r="23" spans="2:5" ht="15">
      <c r="B23" s="147" t="s">
        <v>145</v>
      </c>
      <c r="C23" s="149">
        <v>360</v>
      </c>
    </row>
    <row r="24" spans="2:5" ht="15">
      <c r="B24" s="147" t="s">
        <v>247</v>
      </c>
      <c r="C24" s="149">
        <v>10</v>
      </c>
    </row>
    <row r="25" spans="2:5" ht="15">
      <c r="B25" s="145" t="s">
        <v>248</v>
      </c>
      <c r="C25" s="148">
        <v>30</v>
      </c>
    </row>
    <row r="26" spans="2:5" ht="15">
      <c r="B26" s="145" t="s">
        <v>249</v>
      </c>
      <c r="C26" s="148">
        <v>30</v>
      </c>
    </row>
    <row r="27" spans="2:5" s="102" customFormat="1" ht="15">
      <c r="B27" s="145" t="s">
        <v>148</v>
      </c>
      <c r="C27" s="148">
        <f>30+(3*TRUNC(1/C21))</f>
        <v>36</v>
      </c>
    </row>
    <row r="28" spans="2:5" s="102" customFormat="1" ht="15">
      <c r="B28" s="147" t="s">
        <v>44</v>
      </c>
      <c r="C28" s="279">
        <v>0.08</v>
      </c>
    </row>
    <row r="29" spans="2:5" s="102" customFormat="1" ht="15">
      <c r="B29" s="286" t="s">
        <v>147</v>
      </c>
      <c r="C29" s="287">
        <v>0.4</v>
      </c>
    </row>
    <row r="30" spans="2:5">
      <c r="B30" s="309" t="s">
        <v>303</v>
      </c>
      <c r="C30" s="309"/>
    </row>
  </sheetData>
  <mergeCells count="2">
    <mergeCell ref="B1:C1"/>
    <mergeCell ref="B30:C30"/>
  </mergeCells>
  <pageMargins left="0.9055118110236221" right="0.51181102362204722" top="0.74803149606299213" bottom="0.74803149606299213" header="0.31496062992125984" footer="0.31496062992125984"/>
  <pageSetup paperSize="9" scale="98" orientation="portrait" verticalDpi="597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H17"/>
  <sheetViews>
    <sheetView workbookViewId="0">
      <selection activeCell="C13" sqref="C13"/>
    </sheetView>
  </sheetViews>
  <sheetFormatPr defaultRowHeight="12.75"/>
  <cols>
    <col min="1" max="1" width="41.85546875" bestFit="1" customWidth="1"/>
    <col min="2" max="2" width="5.5703125" bestFit="1" customWidth="1"/>
    <col min="4" max="4" width="9.7109375" bestFit="1" customWidth="1"/>
    <col min="5" max="5" width="8" style="116" bestFit="1" customWidth="1"/>
    <col min="6" max="6" width="9.7109375" bestFit="1" customWidth="1"/>
  </cols>
  <sheetData>
    <row r="1" spans="1:8" ht="15.75">
      <c r="A1" s="315" t="s">
        <v>234</v>
      </c>
      <c r="B1" s="316"/>
      <c r="C1" s="316"/>
      <c r="D1" s="316"/>
      <c r="E1" s="316"/>
      <c r="F1" s="317"/>
    </row>
    <row r="2" spans="1:8" ht="16.5" thickBot="1">
      <c r="A2" s="241"/>
      <c r="B2" s="242"/>
      <c r="C2" s="242"/>
      <c r="D2" s="242"/>
      <c r="E2" s="242"/>
      <c r="F2" s="243"/>
    </row>
    <row r="3" spans="1:8" ht="15">
      <c r="A3" s="192"/>
      <c r="B3" s="8"/>
      <c r="C3" s="8"/>
      <c r="D3" s="312" t="s">
        <v>250</v>
      </c>
      <c r="E3" s="313"/>
      <c r="F3" s="314"/>
      <c r="G3" s="136"/>
      <c r="H3" s="136"/>
    </row>
    <row r="4" spans="1:8" ht="15" thickBot="1">
      <c r="A4" s="189"/>
      <c r="B4" s="136"/>
      <c r="C4" s="136"/>
      <c r="D4" s="193" t="s">
        <v>198</v>
      </c>
      <c r="E4" s="194" t="s">
        <v>199</v>
      </c>
      <c r="F4" s="195" t="s">
        <v>200</v>
      </c>
      <c r="G4" s="136"/>
      <c r="H4" s="136"/>
    </row>
    <row r="5" spans="1:8" ht="14.25">
      <c r="A5" s="196" t="s">
        <v>79</v>
      </c>
      <c r="B5" s="197" t="s">
        <v>80</v>
      </c>
      <c r="C5" s="198"/>
      <c r="D5" s="219">
        <v>2.9700000000000001E-2</v>
      </c>
      <c r="E5" s="220">
        <v>5.0799999999999998E-2</v>
      </c>
      <c r="F5" s="221">
        <v>6.2700000000000006E-2</v>
      </c>
      <c r="G5" s="136"/>
      <c r="H5" s="136"/>
    </row>
    <row r="6" spans="1:8" ht="14.25">
      <c r="A6" s="200" t="s">
        <v>81</v>
      </c>
      <c r="B6" s="201" t="s">
        <v>82</v>
      </c>
      <c r="C6" s="202"/>
      <c r="D6" s="219">
        <f>0.3%+0.56%</f>
        <v>8.6E-3</v>
      </c>
      <c r="E6" s="220">
        <f>0.48%+0.85%</f>
        <v>1.3299999999999999E-2</v>
      </c>
      <c r="F6" s="221">
        <f>0.82%+0.89%</f>
        <v>1.7099999999999997E-2</v>
      </c>
      <c r="G6" s="136"/>
      <c r="H6" s="136"/>
    </row>
    <row r="7" spans="1:8" ht="14.25">
      <c r="A7" s="200" t="s">
        <v>83</v>
      </c>
      <c r="B7" s="201" t="s">
        <v>84</v>
      </c>
      <c r="C7" s="202"/>
      <c r="D7" s="219">
        <v>7.7799999999999994E-2</v>
      </c>
      <c r="E7" s="220">
        <v>0.1085</v>
      </c>
      <c r="F7" s="221">
        <v>0.13550000000000001</v>
      </c>
      <c r="G7" s="136"/>
      <c r="H7" s="136"/>
    </row>
    <row r="8" spans="1:8" ht="14.25">
      <c r="A8" s="200" t="s">
        <v>85</v>
      </c>
      <c r="B8" s="201" t="s">
        <v>86</v>
      </c>
      <c r="C8" s="203">
        <f>(1+E8)^(E9/252)-1</f>
        <v>0</v>
      </c>
      <c r="D8" s="219" t="s">
        <v>282</v>
      </c>
      <c r="E8" s="204">
        <v>0.1225</v>
      </c>
      <c r="F8" s="199"/>
      <c r="G8" s="136"/>
      <c r="H8" s="136"/>
    </row>
    <row r="9" spans="1:8" ht="14.25">
      <c r="A9" s="200" t="s">
        <v>87</v>
      </c>
      <c r="B9" s="310" t="s">
        <v>88</v>
      </c>
      <c r="C9" s="202"/>
      <c r="D9" s="275" t="s">
        <v>201</v>
      </c>
      <c r="E9" s="205"/>
      <c r="F9" s="206"/>
      <c r="G9" s="136"/>
      <c r="H9" s="136"/>
    </row>
    <row r="10" spans="1:8" ht="15" thickBot="1">
      <c r="A10" s="207" t="s">
        <v>89</v>
      </c>
      <c r="B10" s="311"/>
      <c r="C10" s="208"/>
      <c r="D10" s="183"/>
      <c r="E10" s="209"/>
      <c r="F10" s="206"/>
      <c r="G10" s="136"/>
      <c r="H10" s="136"/>
    </row>
    <row r="11" spans="1:8" ht="14.25">
      <c r="A11" s="210" t="s">
        <v>90</v>
      </c>
      <c r="B11" s="211"/>
      <c r="C11" s="212"/>
      <c r="D11" s="183"/>
      <c r="E11" s="209"/>
      <c r="F11" s="206"/>
      <c r="G11" s="136"/>
      <c r="H11" s="136"/>
    </row>
    <row r="12" spans="1:8" ht="15" thickBot="1">
      <c r="A12" s="213" t="s">
        <v>91</v>
      </c>
      <c r="B12" s="214"/>
      <c r="C12" s="215"/>
      <c r="D12" s="183"/>
      <c r="E12" s="209"/>
      <c r="F12" s="206"/>
      <c r="G12" s="136"/>
      <c r="H12" s="136"/>
    </row>
    <row r="13" spans="1:8" ht="15.75" thickBot="1">
      <c r="A13" s="216" t="s">
        <v>92</v>
      </c>
      <c r="B13" s="217"/>
      <c r="C13" s="218">
        <v>0.22</v>
      </c>
      <c r="D13" s="222">
        <v>0.21429999999999999</v>
      </c>
      <c r="E13" s="223">
        <v>0.2717</v>
      </c>
      <c r="F13" s="224">
        <v>0.3362</v>
      </c>
      <c r="G13" s="136"/>
      <c r="H13" s="136"/>
    </row>
    <row r="14" spans="1:8" ht="14.25">
      <c r="A14" s="136"/>
      <c r="B14" s="136"/>
      <c r="C14" s="136"/>
      <c r="D14" s="136"/>
      <c r="E14" s="137"/>
      <c r="F14" s="136"/>
      <c r="G14" s="136"/>
      <c r="H14" s="136"/>
    </row>
    <row r="15" spans="1:8" ht="14.25">
      <c r="A15" s="136"/>
      <c r="B15" s="136"/>
      <c r="C15" s="136"/>
      <c r="D15" s="136"/>
      <c r="E15" s="137"/>
      <c r="F15" s="136"/>
      <c r="G15" s="136"/>
      <c r="H15" s="136"/>
    </row>
    <row r="16" spans="1:8" ht="14.25">
      <c r="A16" s="136"/>
      <c r="B16" s="136"/>
      <c r="C16" s="136"/>
      <c r="D16" s="136"/>
      <c r="E16" s="137"/>
      <c r="F16" s="136"/>
      <c r="G16" s="136"/>
      <c r="H16" s="136"/>
    </row>
    <row r="17" spans="1:8" ht="14.25">
      <c r="A17" s="136"/>
      <c r="B17" s="136"/>
      <c r="C17" s="136"/>
      <c r="D17" s="136"/>
      <c r="E17" s="137"/>
      <c r="F17" s="136"/>
      <c r="G17" s="136"/>
      <c r="H17" s="136"/>
    </row>
  </sheetData>
  <mergeCells count="3">
    <mergeCell ref="B9:B10"/>
    <mergeCell ref="D3:F3"/>
    <mergeCell ref="A1:F1"/>
  </mergeCells>
  <pageMargins left="0.90551181102362199" right="0.51181102362204722" top="0.74803149606299213" bottom="0.74803149606299213" header="0.31496062992125984" footer="0.31496062992125984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B17"/>
  <sheetViews>
    <sheetView workbookViewId="0">
      <selection activeCell="B3" sqref="B3"/>
    </sheetView>
  </sheetViews>
  <sheetFormatPr defaultRowHeight="19.5" customHeight="1"/>
  <cols>
    <col min="1" max="1" width="24.5703125" style="1" customWidth="1"/>
    <col min="2" max="2" width="20.85546875" style="1" customWidth="1"/>
    <col min="3" max="16384" width="9.140625" style="1"/>
  </cols>
  <sheetData>
    <row r="1" spans="1:2" ht="19.5" customHeight="1" thickBot="1">
      <c r="A1" s="318" t="s">
        <v>236</v>
      </c>
      <c r="B1" s="319"/>
    </row>
    <row r="2" spans="1:2" s="102" customFormat="1" ht="19.5" customHeight="1">
      <c r="A2" s="244" t="s">
        <v>213</v>
      </c>
      <c r="B2" s="245" t="s">
        <v>284</v>
      </c>
    </row>
    <row r="3" spans="1:2" ht="19.5" customHeight="1">
      <c r="A3" s="151">
        <v>1</v>
      </c>
      <c r="B3" s="150">
        <v>33.629999999999995</v>
      </c>
    </row>
    <row r="4" spans="1:2" ht="19.5" customHeight="1">
      <c r="A4" s="151">
        <v>2</v>
      </c>
      <c r="B4" s="150">
        <v>43.13</v>
      </c>
    </row>
    <row r="5" spans="1:2" ht="19.5" customHeight="1">
      <c r="A5" s="151">
        <v>3</v>
      </c>
      <c r="B5" s="150">
        <v>48.68</v>
      </c>
    </row>
    <row r="6" spans="1:2" ht="19.5" customHeight="1">
      <c r="A6" s="151">
        <v>4</v>
      </c>
      <c r="B6" s="150">
        <v>52.62</v>
      </c>
    </row>
    <row r="7" spans="1:2" ht="19.5" customHeight="1">
      <c r="A7" s="151">
        <v>5</v>
      </c>
      <c r="B7" s="150">
        <v>55.679999999999993</v>
      </c>
    </row>
    <row r="8" spans="1:2" ht="19.5" customHeight="1">
      <c r="A8" s="151">
        <v>6</v>
      </c>
      <c r="B8" s="150">
        <v>58.18</v>
      </c>
    </row>
    <row r="9" spans="1:2" ht="19.5" customHeight="1">
      <c r="A9" s="151">
        <v>7</v>
      </c>
      <c r="B9" s="150">
        <v>60.29</v>
      </c>
    </row>
    <row r="10" spans="1:2" ht="19.5" customHeight="1">
      <c r="A10" s="151">
        <v>8</v>
      </c>
      <c r="B10" s="150">
        <v>62.12</v>
      </c>
    </row>
    <row r="11" spans="1:2" ht="19.5" customHeight="1">
      <c r="A11" s="151">
        <v>9</v>
      </c>
      <c r="B11" s="150">
        <v>63.73</v>
      </c>
    </row>
    <row r="12" spans="1:2" ht="19.5" customHeight="1">
      <c r="A12" s="151">
        <v>10</v>
      </c>
      <c r="B12" s="150">
        <v>65.180000000000007</v>
      </c>
    </row>
    <row r="13" spans="1:2" ht="19.5" customHeight="1">
      <c r="A13" s="151">
        <v>11</v>
      </c>
      <c r="B13" s="150">
        <v>66.47999999999999</v>
      </c>
    </row>
    <row r="14" spans="1:2" ht="19.5" customHeight="1">
      <c r="A14" s="151">
        <v>12</v>
      </c>
      <c r="B14" s="150">
        <v>67.67</v>
      </c>
    </row>
    <row r="15" spans="1:2" ht="19.5" customHeight="1">
      <c r="A15" s="151">
        <v>13</v>
      </c>
      <c r="B15" s="150">
        <v>68.77</v>
      </c>
    </row>
    <row r="16" spans="1:2" ht="19.5" customHeight="1">
      <c r="A16" s="151">
        <v>14</v>
      </c>
      <c r="B16" s="150">
        <v>69.789999999999992</v>
      </c>
    </row>
    <row r="17" spans="1:2" ht="19.5" customHeight="1" thickBot="1">
      <c r="A17" s="152">
        <v>15</v>
      </c>
      <c r="B17" s="153">
        <v>70.73</v>
      </c>
    </row>
  </sheetData>
  <mergeCells count="1">
    <mergeCell ref="A1:B1"/>
  </mergeCells>
  <pageMargins left="0.9055118110236221" right="0.51181102362204722" top="0.74803149606299213" bottom="0.74803149606299213" header="0.31496062992125984" footer="0.31496062992125984"/>
  <pageSetup paperSize="9" orientation="portrait" verticalDpi="597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A17"/>
  <sheetViews>
    <sheetView workbookViewId="0">
      <selection activeCell="B39" sqref="B39"/>
    </sheetView>
  </sheetViews>
  <sheetFormatPr defaultRowHeight="12.75"/>
  <cols>
    <col min="1" max="1" width="70.42578125" style="1" customWidth="1"/>
    <col min="2" max="3" width="9.140625" style="1"/>
    <col min="4" max="4" width="12.85546875" style="1" bestFit="1" customWidth="1"/>
    <col min="5" max="16384" width="9.140625" style="1"/>
  </cols>
  <sheetData>
    <row r="1" spans="1:1" ht="18">
      <c r="A1" s="228" t="s">
        <v>240</v>
      </c>
    </row>
    <row r="2" spans="1:1">
      <c r="A2" s="225"/>
    </row>
    <row r="3" spans="1:1">
      <c r="A3" s="225" t="s">
        <v>252</v>
      </c>
    </row>
    <row r="4" spans="1:1">
      <c r="A4" s="225"/>
    </row>
    <row r="5" spans="1:1">
      <c r="A5" s="225"/>
    </row>
    <row r="6" spans="1:1">
      <c r="A6" s="225"/>
    </row>
    <row r="7" spans="1:1">
      <c r="A7" s="225"/>
    </row>
    <row r="8" spans="1:1">
      <c r="A8" s="225"/>
    </row>
    <row r="9" spans="1:1">
      <c r="A9" s="225"/>
    </row>
    <row r="10" spans="1:1">
      <c r="A10" s="225"/>
    </row>
    <row r="11" spans="1:1">
      <c r="A11" s="225"/>
    </row>
    <row r="12" spans="1:1" ht="19.5">
      <c r="A12" s="226" t="s">
        <v>237</v>
      </c>
    </row>
    <row r="13" spans="1:1" ht="15">
      <c r="A13" s="226" t="s">
        <v>116</v>
      </c>
    </row>
    <row r="14" spans="1:1" ht="15">
      <c r="A14" s="226" t="s">
        <v>121</v>
      </c>
    </row>
    <row r="15" spans="1:1" ht="19.5">
      <c r="A15" s="226" t="s">
        <v>238</v>
      </c>
    </row>
    <row r="16" spans="1:1" ht="19.5">
      <c r="A16" s="226" t="s">
        <v>239</v>
      </c>
    </row>
    <row r="17" spans="1:1" ht="15.75" thickBot="1">
      <c r="A17" s="227" t="s">
        <v>117</v>
      </c>
    </row>
  </sheetData>
  <pageMargins left="0.9055118110236221" right="0.51181102362204722" top="0.74803149606299213" bottom="0.74803149606299213" header="0.31496062992125984" footer="0.31496062992125984"/>
  <pageSetup paperSize="9" orientation="portrait" verticalDpi="597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G22"/>
  <sheetViews>
    <sheetView topLeftCell="A7" workbookViewId="0">
      <selection activeCell="A16" sqref="A16"/>
    </sheetView>
  </sheetViews>
  <sheetFormatPr defaultRowHeight="12.75"/>
  <cols>
    <col min="1" max="1" width="58.28515625" style="254" customWidth="1"/>
    <col min="2" max="2" width="11.140625" style="254" bestFit="1" customWidth="1"/>
    <col min="3" max="3" width="11.28515625" style="254" bestFit="1" customWidth="1"/>
    <col min="4" max="16384" width="9.140625" style="254"/>
  </cols>
  <sheetData>
    <row r="1" spans="1:7">
      <c r="A1" s="11" t="s">
        <v>211</v>
      </c>
    </row>
    <row r="2" spans="1:7">
      <c r="A2" s="259" t="s">
        <v>259</v>
      </c>
    </row>
    <row r="3" spans="1:7">
      <c r="A3" s="259" t="s">
        <v>285</v>
      </c>
    </row>
    <row r="4" spans="1:7">
      <c r="A4" s="7" t="s">
        <v>283</v>
      </c>
    </row>
    <row r="5" spans="1:7">
      <c r="A5" s="7"/>
    </row>
    <row r="6" spans="1:7" s="4" customFormat="1" ht="15.6" customHeight="1" thickBot="1">
      <c r="A6" s="276" t="s">
        <v>289</v>
      </c>
      <c r="B6" s="5"/>
      <c r="C6" s="5"/>
      <c r="D6" s="5"/>
      <c r="E6" s="5"/>
      <c r="F6" s="5"/>
      <c r="G6" s="6"/>
    </row>
    <row r="7" spans="1:7" ht="18">
      <c r="A7" s="320" t="s">
        <v>279</v>
      </c>
      <c r="B7" s="321"/>
      <c r="C7" s="322"/>
    </row>
    <row r="8" spans="1:7" ht="18">
      <c r="A8" s="272"/>
      <c r="B8" s="271"/>
      <c r="C8" s="273"/>
    </row>
    <row r="9" spans="1:7" s="102" customFormat="1" ht="15">
      <c r="A9" s="260" t="s">
        <v>280</v>
      </c>
      <c r="B9" s="261" t="s">
        <v>260</v>
      </c>
      <c r="C9" s="262" t="s">
        <v>151</v>
      </c>
    </row>
    <row r="10" spans="1:7" ht="14.25">
      <c r="A10" s="183" t="s">
        <v>268</v>
      </c>
      <c r="B10" s="263" t="s">
        <v>261</v>
      </c>
      <c r="C10" s="184">
        <v>4239</v>
      </c>
    </row>
    <row r="11" spans="1:7" ht="14.25">
      <c r="A11" s="183" t="s">
        <v>269</v>
      </c>
      <c r="B11" s="263" t="s">
        <v>266</v>
      </c>
      <c r="C11" s="264">
        <f>0.0362741*C10^0.2336249</f>
        <v>0.25527935794695678</v>
      </c>
    </row>
    <row r="12" spans="1:7" ht="14.25">
      <c r="A12" s="183" t="s">
        <v>270</v>
      </c>
      <c r="B12" s="263" t="s">
        <v>267</v>
      </c>
      <c r="C12" s="265">
        <f>C10*C11/1000</f>
        <v>1.0821291983371497</v>
      </c>
    </row>
    <row r="13" spans="1:7" ht="14.25">
      <c r="A13" s="183" t="s">
        <v>276</v>
      </c>
      <c r="B13" s="263" t="s">
        <v>262</v>
      </c>
      <c r="C13" s="266">
        <f>(C12*30)</f>
        <v>32.463875950114492</v>
      </c>
    </row>
    <row r="14" spans="1:7" ht="14.25">
      <c r="A14" s="183" t="s">
        <v>272</v>
      </c>
      <c r="B14" s="263" t="s">
        <v>96</v>
      </c>
      <c r="C14" s="269">
        <v>3</v>
      </c>
    </row>
    <row r="15" spans="1:7" ht="14.25">
      <c r="A15" s="183" t="s">
        <v>271</v>
      </c>
      <c r="B15" s="263" t="s">
        <v>267</v>
      </c>
      <c r="C15" s="265">
        <f>IFERROR(C12*7/C14,0)</f>
        <v>2.5249681294533493</v>
      </c>
    </row>
    <row r="16" spans="1:7" ht="14.25">
      <c r="A16" s="183" t="s">
        <v>263</v>
      </c>
      <c r="B16" s="263" t="s">
        <v>264</v>
      </c>
      <c r="C16" s="206">
        <v>500</v>
      </c>
    </row>
    <row r="17" spans="1:3" ht="14.25">
      <c r="A17" s="183" t="s">
        <v>277</v>
      </c>
      <c r="B17" s="263"/>
      <c r="C17" s="184"/>
    </row>
    <row r="18" spans="1:3" ht="14.25">
      <c r="A18" s="183" t="s">
        <v>278</v>
      </c>
      <c r="B18" s="263" t="s">
        <v>265</v>
      </c>
      <c r="C18" s="184">
        <v>15</v>
      </c>
    </row>
    <row r="19" spans="1:3" ht="14.25">
      <c r="A19" s="183" t="s">
        <v>273</v>
      </c>
      <c r="B19" s="263" t="s">
        <v>262</v>
      </c>
      <c r="C19" s="206">
        <f>IF(AND(C18&gt;=15,C17=1),5.8,C18/2)</f>
        <v>7.5</v>
      </c>
    </row>
    <row r="20" spans="1:3" ht="14.25">
      <c r="A20" s="183" t="s">
        <v>274</v>
      </c>
      <c r="B20" s="263"/>
      <c r="C20" s="265">
        <f>IFERROR(C15/C19,0)</f>
        <v>0.33666241726044654</v>
      </c>
    </row>
    <row r="21" spans="1:3" ht="14.25">
      <c r="A21" s="183" t="s">
        <v>281</v>
      </c>
      <c r="B21" s="263"/>
      <c r="C21" s="274">
        <v>1</v>
      </c>
    </row>
    <row r="22" spans="1:3" ht="15" thickBot="1">
      <c r="A22" s="267" t="s">
        <v>275</v>
      </c>
      <c r="B22" s="268"/>
      <c r="C22" s="270">
        <f>IFERROR(C20/C21,0)</f>
        <v>0.33666241726044654</v>
      </c>
    </row>
  </sheetData>
  <mergeCells count="1">
    <mergeCell ref="A7:C7"/>
  </mergeCells>
  <conditionalFormatting sqref="C19">
    <cfRule type="expression" dxfId="0" priority="1">
      <formula>"SE(E(C20&gt;=15;C19=1))"</formula>
    </cfRule>
  </conditionalFormatting>
  <pageMargins left="0.51181102362204722" right="0.51181102362204722" top="0.78740157480314965" bottom="0.78740157480314965" header="0.31496062992125984" footer="0.31496062992125984"/>
  <pageSetup paperSize="9"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topLeftCell="A4" workbookViewId="0"/>
  </sheetViews>
  <sheetFormatPr defaultRowHeight="12.7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8</vt:i4>
      </vt:variant>
      <vt:variant>
        <vt:lpstr>Intervalos nomeados</vt:lpstr>
      </vt:variant>
      <vt:variant>
        <vt:i4>4</vt:i4>
      </vt:variant>
    </vt:vector>
  </HeadingPairs>
  <TitlesOfParts>
    <vt:vector size="12" baseType="lpstr">
      <vt:lpstr>1. Coleta Domiciliar</vt:lpstr>
      <vt:lpstr>2.Encargos Sociais</vt:lpstr>
      <vt:lpstr>3.CAGED</vt:lpstr>
      <vt:lpstr>4.BDI</vt:lpstr>
      <vt:lpstr>5. Depreciação</vt:lpstr>
      <vt:lpstr>6.Remuneração de capital</vt:lpstr>
      <vt:lpstr>7. Dimensionamento</vt:lpstr>
      <vt:lpstr>Plan1</vt:lpstr>
      <vt:lpstr>AbaDeprec</vt:lpstr>
      <vt:lpstr>AbaRemun</vt:lpstr>
      <vt:lpstr>'1. Coleta Domiciliar'!Area_de_impressao</vt:lpstr>
      <vt:lpstr>'2.Encargos Sociais'!Area_de_impressao</vt:lpstr>
    </vt:vector>
  </TitlesOfParts>
  <Company>dmlu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Planilha de Custos Coleta e Transporte RSU</dc:title>
  <dc:creator>Flavia Burmeister Martins</dc:creator>
  <cp:lastModifiedBy>Prefeitura Municipal</cp:lastModifiedBy>
  <cp:lastPrinted>2023-03-03T19:09:27Z</cp:lastPrinted>
  <dcterms:created xsi:type="dcterms:W3CDTF">2000-12-13T10:02:50Z</dcterms:created>
  <dcterms:modified xsi:type="dcterms:W3CDTF">2023-03-21T17:39:47Z</dcterms:modified>
</cp:coreProperties>
</file>